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activeTab="0"/>
  </bookViews>
  <sheets>
    <sheet name="I.1" sheetId="1" r:id="rId1"/>
    <sheet name="I.2-I.3" sheetId="2" r:id="rId2"/>
    <sheet name="I.4" sheetId="3" r:id="rId3"/>
    <sheet name="II.1" sheetId="4" r:id="rId4"/>
    <sheet name="II.2" sheetId="5" r:id="rId5"/>
    <sheet name="II.3" sheetId="6" r:id="rId6"/>
    <sheet name="II.4" sheetId="7" r:id="rId7"/>
    <sheet name="II.5-II.6" sheetId="8" r:id="rId8"/>
    <sheet name="II.7_1" sheetId="9" r:id="rId9"/>
    <sheet name="II.7_2" sheetId="10" r:id="rId10"/>
    <sheet name="II.8" sheetId="11" r:id="rId11"/>
    <sheet name="II.9" sheetId="12" r:id="rId12"/>
    <sheet name="III.1" sheetId="13" r:id="rId13"/>
    <sheet name="III.2" sheetId="14" r:id="rId14"/>
    <sheet name="IV.1-IV.2" sheetId="15" r:id="rId15"/>
    <sheet name="V.1-V.2" sheetId="16" r:id="rId16"/>
    <sheet name="V.3-V.4" sheetId="17" r:id="rId17"/>
    <sheet name="V.5" sheetId="18" r:id="rId18"/>
    <sheet name="V.6-V.7" sheetId="19" r:id="rId19"/>
    <sheet name="VI.1" sheetId="20" r:id="rId20"/>
    <sheet name="VI.2-VI.3" sheetId="21" r:id="rId21"/>
    <sheet name="VII.1" sheetId="22" r:id="rId22"/>
    <sheet name="VII.2" sheetId="23" r:id="rId23"/>
    <sheet name="VII.3-VII.4" sheetId="24" r:id="rId24"/>
    <sheet name="VIII.1" sheetId="25" r:id="rId25"/>
    <sheet name="VIII.2" sheetId="26" r:id="rId26"/>
    <sheet name="VIII.3-5" sheetId="27" r:id="rId27"/>
    <sheet name="IX.1" sheetId="28" r:id="rId28"/>
    <sheet name="IX.2-IX.3" sheetId="29" r:id="rId29"/>
    <sheet name="IX.4-IX.5" sheetId="30" r:id="rId30"/>
  </sheets>
  <definedNames/>
  <calcPr fullCalcOnLoad="1"/>
</workbook>
</file>

<file path=xl/sharedStrings.xml><?xml version="1.0" encoding="utf-8"?>
<sst xmlns="http://schemas.openxmlformats.org/spreadsheetml/2006/main" count="2154" uniqueCount="911">
  <si>
    <t>o</t>
  </si>
  <si>
    <t>二、建成私人樓宇</t>
  </si>
  <si>
    <t xml:space="preserve">         住宅 </t>
  </si>
  <si>
    <t>數目</t>
  </si>
  <si>
    <t>同期變動率</t>
  </si>
  <si>
    <t xml:space="preserve">         商業及寫字樓</t>
  </si>
  <si>
    <t xml:space="preserve">         工業</t>
  </si>
  <si>
    <t xml:space="preserve">. . </t>
  </si>
  <si>
    <t>..</t>
  </si>
  <si>
    <r>
      <t xml:space="preserve">      </t>
    </r>
    <r>
      <rPr>
        <u val="single"/>
        <sz val="10"/>
        <rFont val="新細明體"/>
        <family val="1"/>
      </rPr>
      <t>2. 總建築面積</t>
    </r>
  </si>
  <si>
    <t>千平方米</t>
  </si>
  <si>
    <t xml:space="preserve">         工業 </t>
  </si>
  <si>
    <r>
      <t xml:space="preserve">2. </t>
    </r>
    <r>
      <rPr>
        <sz val="12"/>
        <rFont val="新細明體"/>
        <family val="1"/>
      </rPr>
      <t>房地產</t>
    </r>
  </si>
  <si>
    <t>第一季至</t>
  </si>
  <si>
    <t>第二季</t>
  </si>
  <si>
    <t>第三季</t>
  </si>
  <si>
    <t>第四季</t>
  </si>
  <si>
    <t>第一季</t>
  </si>
  <si>
    <r>
      <t>結構</t>
    </r>
    <r>
      <rPr>
        <sz val="10"/>
        <rFont val="Times New Roman"/>
        <family val="1"/>
      </rPr>
      <t xml:space="preserve"> (%)</t>
    </r>
  </si>
  <si>
    <r>
      <t>一、樓宇單位買賣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</t>
    </r>
  </si>
  <si>
    <r>
      <t xml:space="preserve">       </t>
    </r>
    <r>
      <rPr>
        <u val="single"/>
        <sz val="10"/>
        <rFont val="新細明體"/>
        <family val="1"/>
      </rPr>
      <t>1. 買賣價值</t>
    </r>
  </si>
  <si>
    <t>百萬澳門元</t>
  </si>
  <si>
    <t xml:space="preserve">.. </t>
  </si>
  <si>
    <t>同期變動率</t>
  </si>
  <si>
    <r>
      <t xml:space="preserve">      </t>
    </r>
    <r>
      <rPr>
        <u val="single"/>
        <sz val="10"/>
        <rFont val="新細明體"/>
        <family val="1"/>
      </rPr>
      <t>2. 買賣數目</t>
    </r>
  </si>
  <si>
    <t>數目</t>
  </si>
  <si>
    <t xml:space="preserve">         住宅 </t>
  </si>
  <si>
    <t xml:space="preserve">         商業及寫字樓</t>
  </si>
  <si>
    <t xml:space="preserve">         工業 </t>
  </si>
  <si>
    <t>二、不動產按揭貸款活動</t>
  </si>
  <si>
    <r>
      <t xml:space="preserve">       </t>
    </r>
    <r>
      <rPr>
        <u val="single"/>
        <sz val="10"/>
        <rFont val="新細明體"/>
        <family val="1"/>
      </rPr>
      <t>1. 貸款總值</t>
    </r>
  </si>
  <si>
    <r>
      <t xml:space="preserve">      </t>
    </r>
    <r>
      <rPr>
        <u val="single"/>
        <sz val="10"/>
        <rFont val="新細明體"/>
        <family val="1"/>
      </rPr>
      <t>2. 貸款數目</t>
    </r>
  </si>
  <si>
    <t xml:space="preserve">         十萬元及以下</t>
  </si>
  <si>
    <t xml:space="preserve">         十萬元以上至三十萬元</t>
  </si>
  <si>
    <t xml:space="preserve">         三十萬元以上至五十萬元</t>
  </si>
  <si>
    <t xml:space="preserve">         五十萬元以上至一百萬元 </t>
  </si>
  <si>
    <t xml:space="preserve">         一百萬元以上</t>
  </si>
  <si>
    <r>
      <t xml:space="preserve">a </t>
    </r>
    <r>
      <rPr>
        <i/>
        <sz val="9"/>
        <rFont val="新細明體"/>
        <family val="1"/>
      </rPr>
      <t>按物業轉移稅統計之樓宇單位買賣</t>
    </r>
  </si>
  <si>
    <r>
      <t xml:space="preserve">3. </t>
    </r>
    <r>
      <rPr>
        <sz val="12"/>
        <rFont val="新細明體"/>
        <family val="1"/>
      </rPr>
      <t>公共工程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</si>
  <si>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r>
      <t>　公共工程總支出</t>
    </r>
  </si>
  <si>
    <r>
      <t xml:space="preserve">        </t>
    </r>
    <r>
      <rPr>
        <sz val="10"/>
        <rFont val="新細明體"/>
        <family val="1"/>
      </rPr>
      <t>住宅</t>
    </r>
  </si>
  <si>
    <r>
      <t xml:space="preserve">        </t>
    </r>
    <r>
      <rPr>
        <sz val="10"/>
        <rFont val="新細明體"/>
        <family val="1"/>
      </rPr>
      <t>非住宅用途樓宇</t>
    </r>
  </si>
  <si>
    <r>
      <t xml:space="preserve">        </t>
    </r>
    <r>
      <rPr>
        <sz val="10"/>
        <rFont val="新細明體"/>
        <family val="1"/>
      </rPr>
      <t>道路和橋</t>
    </r>
  </si>
  <si>
    <r>
      <t xml:space="preserve">        </t>
    </r>
    <r>
      <rPr>
        <sz val="10"/>
        <rFont val="新細明體"/>
        <family val="1"/>
      </rPr>
      <t>港口</t>
    </r>
  </si>
  <si>
    <r>
      <t xml:space="preserve">        </t>
    </r>
    <r>
      <rPr>
        <sz val="10"/>
        <rFont val="新細明體"/>
        <family val="1"/>
      </rPr>
      <t>其他建築物</t>
    </r>
  </si>
  <si>
    <r>
      <t xml:space="preserve">a </t>
    </r>
    <r>
      <rPr>
        <i/>
        <sz val="9"/>
        <rFont val="新細明體"/>
        <family val="1"/>
      </rPr>
      <t>不包括指定之賬目</t>
    </r>
  </si>
  <si>
    <t>VII. 公共賬目</t>
  </si>
  <si>
    <r>
      <t xml:space="preserve">1. </t>
    </r>
    <r>
      <rPr>
        <sz val="12"/>
        <rFont val="新細明體"/>
        <family val="1"/>
      </rPr>
      <t>公共收支狀況</t>
    </r>
  </si>
  <si>
    <t>第一季至</t>
  </si>
  <si>
    <t>第二季</t>
  </si>
  <si>
    <t>第三季</t>
  </si>
  <si>
    <t>第四季</t>
  </si>
  <si>
    <t>第一季</t>
  </si>
  <si>
    <t>一、總收入</t>
  </si>
  <si>
    <t>百萬澳門元</t>
  </si>
  <si>
    <t>同期變動率</t>
  </si>
  <si>
    <t>　　經常收入</t>
  </si>
  <si>
    <t>　　資本收入</t>
  </si>
  <si>
    <r>
      <t>二、總開支</t>
    </r>
  </si>
  <si>
    <t>　　經常開支</t>
  </si>
  <si>
    <t>　　資本開支</t>
  </si>
  <si>
    <r>
      <t xml:space="preserve">三、經常賬目結餘 </t>
    </r>
    <r>
      <rPr>
        <sz val="10"/>
        <rFont val="Times New Roman"/>
        <family val="1"/>
      </rPr>
      <t>ª</t>
    </r>
    <r>
      <rPr>
        <vertAlign val="superscript"/>
        <sz val="10"/>
        <rFont val="新細明體"/>
        <family val="1"/>
      </rPr>
      <t xml:space="preserve"> </t>
    </r>
  </si>
  <si>
    <t>四、在本地銀行體系</t>
  </si>
  <si>
    <r>
      <t>8 235.4</t>
    </r>
    <r>
      <rPr>
        <vertAlign val="superscript"/>
        <sz val="10"/>
        <rFont val="Times New Roman"/>
        <family val="1"/>
      </rPr>
      <t>r</t>
    </r>
  </si>
  <si>
    <r>
      <t>8 159.5</t>
    </r>
    <r>
      <rPr>
        <vertAlign val="superscript"/>
        <sz val="10"/>
        <rFont val="Times New Roman"/>
        <family val="1"/>
      </rPr>
      <t>r</t>
    </r>
  </si>
  <si>
    <r>
      <t xml:space="preserve">         </t>
    </r>
    <r>
      <rPr>
        <b/>
        <sz val="10"/>
        <rFont val="新細明體"/>
        <family val="1"/>
      </rPr>
      <t>中之公共存款</t>
    </r>
  </si>
  <si>
    <r>
      <t>32.1</t>
    </r>
    <r>
      <rPr>
        <vertAlign val="superscript"/>
        <sz val="10"/>
        <rFont val="Times New Roman"/>
        <family val="1"/>
      </rPr>
      <t>r</t>
    </r>
  </si>
  <si>
    <r>
      <t>33.1</t>
    </r>
    <r>
      <rPr>
        <vertAlign val="superscript"/>
        <sz val="10"/>
        <rFont val="Times New Roman"/>
        <family val="1"/>
      </rPr>
      <t>r</t>
    </r>
  </si>
  <si>
    <r>
      <t xml:space="preserve">a </t>
    </r>
    <r>
      <rPr>
        <i/>
        <sz val="9"/>
        <rFont val="新細明體"/>
        <family val="1"/>
      </rPr>
      <t>經常賬目結餘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經常收入</t>
    </r>
    <r>
      <rPr>
        <i/>
        <sz val="9"/>
        <rFont val="Times New Roman"/>
        <family val="1"/>
      </rPr>
      <t xml:space="preserve"> - </t>
    </r>
    <r>
      <rPr>
        <i/>
        <sz val="9"/>
        <rFont val="新細明體"/>
        <family val="1"/>
      </rPr>
      <t>經常開支</t>
    </r>
  </si>
  <si>
    <r>
      <t xml:space="preserve">2. </t>
    </r>
    <r>
      <rPr>
        <sz val="12"/>
        <rFont val="新細明體"/>
        <family val="1"/>
      </rPr>
      <t>公共收入</t>
    </r>
  </si>
  <si>
    <r>
      <t>結構</t>
    </r>
    <r>
      <rPr>
        <sz val="10"/>
        <rFont val="Times New Roman"/>
        <family val="1"/>
      </rPr>
      <t xml:space="preserve"> (%)</t>
    </r>
    <r>
      <rPr>
        <vertAlign val="superscript"/>
        <sz val="10"/>
        <rFont val="Times New Roman"/>
        <family val="1"/>
      </rPr>
      <t>a</t>
    </r>
  </si>
  <si>
    <t>　總收入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</si>
  <si>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經常收入</t>
    </r>
  </si>
  <si>
    <t>　　　直接稅</t>
  </si>
  <si>
    <t>　　　間接稅</t>
  </si>
  <si>
    <t>　　　費用、罰款及其他金錢上之制裁</t>
  </si>
  <si>
    <t>　　　財產之收益</t>
  </si>
  <si>
    <t>　　　轉移</t>
  </si>
  <si>
    <t>　　　其他經常收入</t>
  </si>
  <si>
    <t xml:space="preserve"> 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</si>
  <si>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資本收入</t>
    </r>
  </si>
  <si>
    <t>　　　投資資產之出售</t>
  </si>
  <si>
    <t xml:space="preserve">- </t>
  </si>
  <si>
    <t>　　　財務資產</t>
  </si>
  <si>
    <t>　　　其他資本收入</t>
  </si>
  <si>
    <r>
      <t>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非從支付中扣減之退回</t>
    </r>
  </si>
  <si>
    <r>
      <t xml:space="preserve">a  </t>
    </r>
    <r>
      <rPr>
        <i/>
        <sz val="9"/>
        <rFont val="新細明體"/>
        <family val="1"/>
      </rPr>
      <t>不</t>
    </r>
    <r>
      <rPr>
        <i/>
        <sz val="9"/>
        <rFont val="新細明體"/>
        <family val="1"/>
      </rPr>
      <t>包括指定之賬目</t>
    </r>
  </si>
  <si>
    <r>
      <t>3</t>
    </r>
    <r>
      <rPr>
        <sz val="12"/>
        <rFont val="新細明體"/>
        <family val="1"/>
      </rPr>
      <t>. 公共開支</t>
    </r>
  </si>
  <si>
    <r>
      <t>　總開支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</si>
  <si>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經常開支</t>
    </r>
  </si>
  <si>
    <t>　　　　人員</t>
  </si>
  <si>
    <t>　　　　貨物及服務</t>
  </si>
  <si>
    <t>　　　　經常轉移</t>
  </si>
  <si>
    <t>　　　　其他經常開支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</si>
  <si>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資本開支</t>
    </r>
  </si>
  <si>
    <r>
      <t xml:space="preserve"> </t>
    </r>
    <r>
      <rPr>
        <sz val="10"/>
        <rFont val="新細明體"/>
        <family val="1"/>
      </rPr>
      <t>　　　　投資</t>
    </r>
  </si>
  <si>
    <r>
      <t xml:space="preserve"> </t>
    </r>
    <r>
      <rPr>
        <sz val="10"/>
        <rFont val="新細明體"/>
        <family val="1"/>
      </rPr>
      <t>　　　　資本轉移</t>
    </r>
  </si>
  <si>
    <r>
      <t xml:space="preserve"> </t>
    </r>
    <r>
      <rPr>
        <sz val="10"/>
        <rFont val="新細明體"/>
        <family val="1"/>
      </rPr>
      <t>　　　　財務活動</t>
    </r>
  </si>
  <si>
    <r>
      <t xml:space="preserve">4. </t>
    </r>
    <r>
      <rPr>
        <sz val="12"/>
        <rFont val="新細明體"/>
        <family val="1"/>
      </rPr>
      <t>公共投資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</si>
  <si>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t>第一季至</t>
  </si>
  <si>
    <t>第二季</t>
  </si>
  <si>
    <t>第三季</t>
  </si>
  <si>
    <t>第四季</t>
  </si>
  <si>
    <t>第一季</t>
  </si>
  <si>
    <t>一、公共工程支出</t>
  </si>
  <si>
    <t xml:space="preserve">       百萬澳門元</t>
  </si>
  <si>
    <t xml:space="preserve">       同期變動率</t>
  </si>
  <si>
    <t>..</t>
  </si>
  <si>
    <t>二、其他公共投資</t>
  </si>
  <si>
    <t>　　運輸工具</t>
  </si>
  <si>
    <t>..</t>
  </si>
  <si>
    <t>　　機器及設備</t>
  </si>
  <si>
    <t>　　其他投資</t>
  </si>
  <si>
    <r>
      <t xml:space="preserve">a </t>
    </r>
    <r>
      <rPr>
        <i/>
        <sz val="9"/>
        <rFont val="新細明體"/>
        <family val="1"/>
      </rPr>
      <t>不包括指定之賬目</t>
    </r>
  </si>
  <si>
    <t>VIII. 貨幣與金融</t>
  </si>
  <si>
    <r>
      <t xml:space="preserve">1. </t>
    </r>
    <r>
      <rPr>
        <sz val="12"/>
        <rFont val="新細明體"/>
        <family val="1"/>
      </rPr>
      <t>貨幣慨況</t>
    </r>
  </si>
  <si>
    <t>期末數值</t>
  </si>
  <si>
    <r>
      <t xml:space="preserve">2000 </t>
    </r>
    <r>
      <rPr>
        <b/>
        <vertAlign val="superscript"/>
        <sz val="10"/>
        <rFont val="Times New Roman"/>
        <family val="1"/>
      </rPr>
      <t>r</t>
    </r>
  </si>
  <si>
    <r>
      <t xml:space="preserve">2001 </t>
    </r>
    <r>
      <rPr>
        <b/>
        <vertAlign val="superscript"/>
        <sz val="10"/>
        <rFont val="Times New Roman"/>
        <family val="1"/>
      </rPr>
      <t>r</t>
    </r>
  </si>
  <si>
    <r>
      <t>一、廣義貨幣供應量</t>
    </r>
    <r>
      <rPr>
        <b/>
        <sz val="10"/>
        <rFont val="Times New Roman"/>
        <family val="1"/>
      </rPr>
      <t xml:space="preserve"> (M2) </t>
    </r>
    <r>
      <rPr>
        <b/>
        <vertAlign val="superscript"/>
        <sz val="10"/>
        <rFont val="Times New Roman"/>
        <family val="1"/>
      </rPr>
      <t>a</t>
    </r>
  </si>
  <si>
    <t>　　　　　澳門元</t>
  </si>
  <si>
    <t>　　　　　港元</t>
  </si>
  <si>
    <t>　　　　　其他貨幣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</si>
  <si>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狹義貨幣供應量</t>
    </r>
    <r>
      <rPr>
        <sz val="10"/>
        <rFont val="Times New Roman"/>
        <family val="1"/>
      </rPr>
      <t xml:space="preserve"> (M1)</t>
    </r>
    <r>
      <rPr>
        <vertAlign val="superscript"/>
        <sz val="10"/>
        <rFont val="Times New Roman"/>
        <family val="1"/>
      </rPr>
      <t>b</t>
    </r>
  </si>
  <si>
    <t>　　　　　流通貨幣</t>
  </si>
  <si>
    <t>　　　　　活期存款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</si>
  <si>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準貨幣負債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c</t>
    </r>
  </si>
  <si>
    <t>二、對外資產淨值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</si>
  <si>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資產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</si>
  <si>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負債</t>
    </r>
  </si>
  <si>
    <t>三、本地信貸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</si>
  <si>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公共部門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d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</si>
  <si>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機構及私人</t>
    </r>
  </si>
  <si>
    <r>
      <t xml:space="preserve">四、其他淨值 </t>
    </r>
    <r>
      <rPr>
        <b/>
        <vertAlign val="superscript"/>
        <sz val="10"/>
        <rFont val="Times New Roman"/>
        <family val="1"/>
      </rPr>
      <t>e</t>
    </r>
  </si>
  <si>
    <r>
      <t>a   M2 = M1 +</t>
    </r>
    <r>
      <rPr>
        <i/>
        <sz val="8"/>
        <rFont val="新細明體"/>
        <family val="1"/>
      </rPr>
      <t>準貨幣負債</t>
    </r>
    <r>
      <rPr>
        <i/>
        <sz val="8"/>
        <rFont val="Times New Roman"/>
        <family val="1"/>
      </rPr>
      <t xml:space="preserve"> = </t>
    </r>
    <r>
      <rPr>
        <i/>
        <sz val="8"/>
        <rFont val="新細明體"/>
        <family val="1"/>
      </rPr>
      <t>對外資產淨值</t>
    </r>
    <r>
      <rPr>
        <i/>
        <sz val="8"/>
        <rFont val="Times New Roman"/>
        <family val="1"/>
      </rPr>
      <t xml:space="preserve"> + </t>
    </r>
    <r>
      <rPr>
        <i/>
        <sz val="8"/>
        <rFont val="新細明體"/>
        <family val="1"/>
      </rPr>
      <t>本地信貸</t>
    </r>
    <r>
      <rPr>
        <i/>
        <sz val="8"/>
        <rFont val="Times New Roman"/>
        <family val="1"/>
      </rPr>
      <t xml:space="preserve"> - </t>
    </r>
    <r>
      <rPr>
        <i/>
        <sz val="8"/>
        <rFont val="新細明體"/>
        <family val="1"/>
      </rPr>
      <t>其他淨值</t>
    </r>
  </si>
  <si>
    <r>
      <t xml:space="preserve">b  </t>
    </r>
    <r>
      <rPr>
        <i/>
        <sz val="8"/>
        <rFont val="新細明體"/>
        <family val="1"/>
      </rPr>
      <t>自二零零一年起，澳門金融管理局所公佈的貨幣供應量</t>
    </r>
    <r>
      <rPr>
        <i/>
        <sz val="8"/>
        <rFont val="Times New Roman"/>
        <family val="1"/>
      </rPr>
      <t>M1</t>
    </r>
    <r>
      <rPr>
        <i/>
        <sz val="8"/>
        <rFont val="新細明體"/>
        <family val="1"/>
      </rPr>
      <t>只包括流通貨幣及活期存款。儲蓄存款則變為準貨幣負債的組成部份。</t>
    </r>
  </si>
  <si>
    <r>
      <t xml:space="preserve">c  </t>
    </r>
    <r>
      <rPr>
        <i/>
        <sz val="8"/>
        <rFont val="新細明體"/>
        <family val="1"/>
      </rPr>
      <t>準貨幣負債包括儲蓄存款、通知存款、定期存款及存款証明書</t>
    </r>
  </si>
  <si>
    <r>
      <t>d  "</t>
    </r>
    <r>
      <rPr>
        <i/>
        <sz val="8"/>
        <rFont val="新細明體"/>
        <family val="1"/>
      </rPr>
      <t>對公共部門信貸</t>
    </r>
    <r>
      <rPr>
        <i/>
        <sz val="8"/>
        <rFont val="Times New Roman"/>
        <family val="1"/>
      </rPr>
      <t xml:space="preserve">" </t>
    </r>
    <r>
      <rPr>
        <i/>
        <sz val="8"/>
        <rFont val="新細明體"/>
        <family val="1"/>
      </rPr>
      <t>為貨幣機構對公共部門的淨債權</t>
    </r>
  </si>
  <si>
    <r>
      <t>e  "</t>
    </r>
    <r>
      <rPr>
        <i/>
        <sz val="8"/>
        <rFont val="新細明體"/>
        <family val="1"/>
      </rPr>
      <t>其他淨值</t>
    </r>
    <r>
      <rPr>
        <i/>
        <sz val="8"/>
        <rFont val="Times New Roman"/>
        <family val="1"/>
      </rPr>
      <t>"</t>
    </r>
    <r>
      <rPr>
        <i/>
        <sz val="8"/>
        <rFont val="新細明體"/>
        <family val="1"/>
      </rPr>
      <t>包括貨幣機構已繳資本及內部調整賬目</t>
    </r>
  </si>
  <si>
    <t>資料來源：澳門金融管理局</t>
  </si>
  <si>
    <r>
      <t xml:space="preserve">2. </t>
    </r>
    <r>
      <rPr>
        <sz val="12"/>
        <rFont val="新細明體"/>
        <family val="1"/>
      </rPr>
      <t>居民存款</t>
    </r>
  </si>
  <si>
    <r>
      <t>2000</t>
    </r>
    <r>
      <rPr>
        <b/>
        <vertAlign val="superscript"/>
        <sz val="10"/>
        <rFont val="Times New Roman"/>
        <family val="1"/>
      </rPr>
      <t xml:space="preserve"> r</t>
    </r>
  </si>
  <si>
    <r>
      <t xml:space="preserve">2000 </t>
    </r>
    <r>
      <rPr>
        <b/>
        <vertAlign val="superscript"/>
        <sz val="10"/>
        <rFont val="Times New Roman"/>
        <family val="1"/>
      </rPr>
      <t>r</t>
    </r>
  </si>
  <si>
    <r>
      <t xml:space="preserve">2001 </t>
    </r>
    <r>
      <rPr>
        <b/>
        <vertAlign val="superscript"/>
        <sz val="10"/>
        <rFont val="Times New Roman"/>
        <family val="1"/>
      </rPr>
      <t>r</t>
    </r>
  </si>
  <si>
    <r>
      <t>　居民總存款</t>
    </r>
  </si>
  <si>
    <r>
      <t>　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活期存款</t>
    </r>
  </si>
  <si>
    <t>　　　　澳門元</t>
  </si>
  <si>
    <t>　　　　港元</t>
  </si>
  <si>
    <t>　　　　其他貨幣</t>
  </si>
  <si>
    <t xml:space="preserve"> 　　2. 儲蓄存款</t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</si>
  <si>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通知存款</t>
    </r>
  </si>
  <si>
    <r>
      <t>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>定期存款</t>
    </r>
  </si>
  <si>
    <t>資料來源：澳門金融管理局</t>
  </si>
  <si>
    <r>
      <t xml:space="preserve">3. </t>
    </r>
    <r>
      <rPr>
        <sz val="12"/>
        <rFont val="新細明體"/>
        <family val="1"/>
      </rPr>
      <t>按行業分類之本地信貸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 xml:space="preserve">a </t>
    </r>
    <r>
      <rPr>
        <sz val="12"/>
        <rFont val="新細明體"/>
        <family val="1"/>
      </rPr>
      <t>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機構及私人</t>
    </r>
  </si>
  <si>
    <r>
      <t>年度同期變動率</t>
    </r>
    <r>
      <rPr>
        <sz val="8"/>
        <rFont val="Times New Roman"/>
        <family val="1"/>
      </rPr>
      <t xml:space="preserve"> (%)</t>
    </r>
  </si>
  <si>
    <t>餘額</t>
  </si>
  <si>
    <t>結構</t>
  </si>
  <si>
    <r>
      <t>2001</t>
    </r>
    <r>
      <rPr>
        <b/>
        <vertAlign val="superscript"/>
        <sz val="10"/>
        <rFont val="Times New Roman"/>
        <family val="1"/>
      </rPr>
      <t xml:space="preserve"> r</t>
    </r>
  </si>
  <si>
    <r>
      <t>(</t>
    </r>
    <r>
      <rPr>
        <sz val="8"/>
        <rFont val="新細明體"/>
        <family val="1"/>
      </rPr>
      <t>百萬澳門元</t>
    </r>
    <r>
      <rPr>
        <sz val="8"/>
        <rFont val="Times New Roman"/>
        <family val="1"/>
      </rPr>
      <t>)</t>
    </r>
  </si>
  <si>
    <t>(%)</t>
  </si>
  <si>
    <t>　總值</t>
  </si>
  <si>
    <t>　製造業</t>
  </si>
  <si>
    <t>　　　製衣</t>
  </si>
  <si>
    <t>　　　其他紡織業</t>
  </si>
  <si>
    <t>　　　機器、電器及電子製品</t>
  </si>
  <si>
    <t>　電力、氣體燃料及用水</t>
  </si>
  <si>
    <t>　建築</t>
  </si>
  <si>
    <t>　商業</t>
  </si>
  <si>
    <t>　住宿、餐廳、酒樓及同類場所</t>
  </si>
  <si>
    <t>　運輸、貯藏及通訊</t>
  </si>
  <si>
    <t>　非貨幣金融團體</t>
  </si>
  <si>
    <t>　其他信貸</t>
  </si>
  <si>
    <r>
      <t>　　　私人信貸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居住用途</t>
    </r>
    <r>
      <rPr>
        <sz val="10"/>
        <rFont val="Times New Roman"/>
        <family val="1"/>
      </rPr>
      <t>)</t>
    </r>
  </si>
  <si>
    <r>
      <t>　　　私人信貸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其他用途</t>
    </r>
    <r>
      <rPr>
        <sz val="10"/>
        <rFont val="Times New Roman"/>
        <family val="1"/>
      </rPr>
      <t>)</t>
    </r>
  </si>
  <si>
    <r>
      <t>　　　</t>
    </r>
    <r>
      <rPr>
        <sz val="10"/>
        <rFont val="新細明體"/>
        <family val="1"/>
      </rPr>
      <t>其他</t>
    </r>
  </si>
  <si>
    <r>
      <t xml:space="preserve">a  </t>
    </r>
    <r>
      <rPr>
        <i/>
        <sz val="8"/>
        <rFont val="新細明體"/>
        <family val="1"/>
      </rPr>
      <t>銀行界提供之信貸，不包括投資類</t>
    </r>
  </si>
  <si>
    <r>
      <t xml:space="preserve">4. </t>
    </r>
    <r>
      <rPr>
        <sz val="12"/>
        <rFont val="新細明體"/>
        <family val="1"/>
      </rPr>
      <t>澳門元兌主要貨幣之平均兌換率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</si>
  <si>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t xml:space="preserve">         美元</t>
  </si>
  <si>
    <r>
      <t xml:space="preserve">          </t>
    </r>
    <r>
      <rPr>
        <sz val="10"/>
        <rFont val="新細明體"/>
        <family val="1"/>
      </rPr>
      <t>歐元</t>
    </r>
    <r>
      <rPr>
        <vertAlign val="superscript"/>
        <sz val="10"/>
        <rFont val="Times New Roman"/>
        <family val="1"/>
      </rPr>
      <t xml:space="preserve"> b</t>
    </r>
  </si>
  <si>
    <t xml:space="preserve">         日圓</t>
  </si>
  <si>
    <t xml:space="preserve">         人民幣</t>
  </si>
  <si>
    <r>
      <t xml:space="preserve">a  </t>
    </r>
    <r>
      <rPr>
        <i/>
        <sz val="8"/>
        <rFont val="新細明體"/>
        <family val="1"/>
      </rPr>
      <t>期內平均值，每百外幣兌澳門元</t>
    </r>
  </si>
  <si>
    <r>
      <t xml:space="preserve">b  </t>
    </r>
    <r>
      <rPr>
        <i/>
        <sz val="8"/>
        <rFont val="新細明體"/>
        <family val="1"/>
      </rPr>
      <t>一九九九年一月一日前之匯率為歐洲貨幣單位之兌換率</t>
    </r>
  </si>
  <si>
    <t>資料來源：澳門金融管理局</t>
  </si>
  <si>
    <r>
      <t xml:space="preserve">5. </t>
    </r>
    <r>
      <rPr>
        <sz val="12"/>
        <rFont val="新細明體"/>
        <family val="1"/>
      </rPr>
      <t>澳門元利率</t>
    </r>
  </si>
  <si>
    <r>
      <t>期末數值，年利率</t>
    </r>
    <r>
      <rPr>
        <sz val="8"/>
        <rFont val="Times New Roman"/>
        <family val="1"/>
      </rPr>
      <t xml:space="preserve">% </t>
    </r>
  </si>
  <si>
    <t>第二季</t>
  </si>
  <si>
    <t>第三季</t>
  </si>
  <si>
    <t>第四季</t>
  </si>
  <si>
    <t>第一季</t>
  </si>
  <si>
    <t>　存款利率</t>
  </si>
  <si>
    <r>
      <t>　　　儲蓄存款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</si>
  <si>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>　　　七日通知存款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</si>
  <si>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t>　澳門銀行同業拆息</t>
  </si>
  <si>
    <t>　　　一個月</t>
  </si>
  <si>
    <t>　　　三個月</t>
  </si>
  <si>
    <r>
      <t xml:space="preserve">a  </t>
    </r>
    <r>
      <rPr>
        <i/>
        <sz val="8"/>
        <rFont val="新細明體"/>
        <family val="1"/>
      </rPr>
      <t>由澳門銀行公會釐定之指導性利率</t>
    </r>
  </si>
  <si>
    <t>IX. 其他經濟指標</t>
  </si>
  <si>
    <r>
      <t xml:space="preserve">1. </t>
    </r>
    <r>
      <rPr>
        <sz val="12"/>
        <rFont val="新細明體"/>
        <family val="1"/>
      </rPr>
      <t>新組成公司與解散公司統計</t>
    </r>
  </si>
  <si>
    <t>第一季至</t>
  </si>
  <si>
    <t>第二季</t>
  </si>
  <si>
    <t>第三季</t>
  </si>
  <si>
    <t>第四季</t>
  </si>
  <si>
    <t>第一季</t>
  </si>
  <si>
    <r>
      <t>結構</t>
    </r>
    <r>
      <rPr>
        <sz val="10"/>
        <rFont val="Times New Roman"/>
        <family val="1"/>
      </rPr>
      <t xml:space="preserve"> (%)</t>
    </r>
  </si>
  <si>
    <t>一、新組成公司數目</t>
  </si>
  <si>
    <t>數目</t>
  </si>
  <si>
    <t>同期變動率</t>
  </si>
  <si>
    <r>
      <t xml:space="preserve">         </t>
    </r>
    <r>
      <rPr>
        <u val="single"/>
        <sz val="10"/>
        <rFont val="新細明體"/>
        <family val="1"/>
      </rPr>
      <t>1. 行業分佈</t>
    </r>
  </si>
  <si>
    <r>
      <t xml:space="preserve">            </t>
    </r>
    <r>
      <rPr>
        <sz val="10"/>
        <rFont val="新細明體"/>
        <family val="1"/>
      </rPr>
      <t>製造業</t>
    </r>
  </si>
  <si>
    <t xml:space="preserve">… </t>
  </si>
  <si>
    <r>
      <t xml:space="preserve">            </t>
    </r>
    <r>
      <rPr>
        <sz val="10"/>
        <rFont val="新細明體"/>
        <family val="1"/>
      </rPr>
      <t>建築</t>
    </r>
  </si>
  <si>
    <r>
      <t xml:space="preserve">            </t>
    </r>
    <r>
      <rPr>
        <sz val="10"/>
        <rFont val="新細明體"/>
        <family val="1"/>
      </rPr>
      <t>批發及零售</t>
    </r>
  </si>
  <si>
    <r>
      <t xml:space="preserve">            </t>
    </r>
    <r>
      <rPr>
        <sz val="10"/>
        <rFont val="新細明體"/>
        <family val="1"/>
      </rPr>
      <t>住宿、餐廳、酒樓及同類場所</t>
    </r>
  </si>
  <si>
    <r>
      <t xml:space="preserve">            </t>
    </r>
    <r>
      <rPr>
        <sz val="10"/>
        <rFont val="新細明體"/>
        <family val="1"/>
      </rPr>
      <t>運輸、貯藏及通訊</t>
    </r>
  </si>
  <si>
    <r>
      <t xml:space="preserve">            </t>
    </r>
    <r>
      <rPr>
        <sz val="10"/>
        <rFont val="新細明體"/>
        <family val="1"/>
      </rPr>
      <t>金融業務</t>
    </r>
  </si>
  <si>
    <r>
      <t xml:space="preserve">            </t>
    </r>
    <r>
      <rPr>
        <sz val="10"/>
        <rFont val="新細明體"/>
        <family val="1"/>
      </rPr>
      <t>不動產業務</t>
    </r>
  </si>
  <si>
    <r>
      <t xml:space="preserve">            </t>
    </r>
    <r>
      <rPr>
        <sz val="10"/>
        <rFont val="新細明體"/>
        <family val="1"/>
      </rPr>
      <t>資訊及其相關的業務</t>
    </r>
  </si>
  <si>
    <r>
      <t xml:space="preserve">            </t>
    </r>
    <r>
      <rPr>
        <sz val="10"/>
        <rFont val="新細明體"/>
        <family val="1"/>
      </rPr>
      <t>工商輔助服務業</t>
    </r>
  </si>
  <si>
    <r>
      <t xml:space="preserve">        </t>
    </r>
    <r>
      <rPr>
        <u val="single"/>
        <sz val="10"/>
        <rFont val="新細明體"/>
        <family val="1"/>
      </rPr>
      <t xml:space="preserve"> 2. 資本額</t>
    </r>
  </si>
  <si>
    <t>千澳門元</t>
  </si>
  <si>
    <t>二、解散公司數目</t>
  </si>
  <si>
    <t>-</t>
  </si>
  <si>
    <t>IX. 其他經濟指標</t>
  </si>
  <si>
    <r>
      <t xml:space="preserve">2. </t>
    </r>
    <r>
      <rPr>
        <sz val="12"/>
        <rFont val="新細明體"/>
        <family val="1"/>
      </rPr>
      <t>運輸統計</t>
    </r>
  </si>
  <si>
    <t>第一季至</t>
  </si>
  <si>
    <t>第二季</t>
  </si>
  <si>
    <t>第三季</t>
  </si>
  <si>
    <t>第四季</t>
  </si>
  <si>
    <t>第一季</t>
  </si>
  <si>
    <t>一、海路貨櫃總吞吐量</t>
  </si>
  <si>
    <t>TEU</t>
  </si>
  <si>
    <t xml:space="preserve">… </t>
  </si>
  <si>
    <t>同期變動率</t>
  </si>
  <si>
    <t xml:space="preserve">.. </t>
  </si>
  <si>
    <t>　　離澳</t>
  </si>
  <si>
    <t>　　抵澳</t>
  </si>
  <si>
    <r>
      <t xml:space="preserve">           </t>
    </r>
    <r>
      <rPr>
        <sz val="10"/>
        <rFont val="新細明體"/>
        <family val="1"/>
      </rPr>
      <t>入口</t>
    </r>
  </si>
  <si>
    <t>貨櫃次數</t>
  </si>
  <si>
    <r>
      <t xml:space="preserve">           </t>
    </r>
    <r>
      <rPr>
        <sz val="10"/>
        <rFont val="新細明體"/>
        <family val="1"/>
      </rPr>
      <t>出口</t>
    </r>
  </si>
  <si>
    <r>
      <t xml:space="preserve">           </t>
    </r>
    <r>
      <rPr>
        <sz val="10"/>
        <rFont val="新細明體"/>
        <family val="1"/>
      </rPr>
      <t>轉口入境</t>
    </r>
  </si>
  <si>
    <r>
      <t xml:space="preserve">           </t>
    </r>
    <r>
      <rPr>
        <sz val="10"/>
        <rFont val="新細明體"/>
        <family val="1"/>
      </rPr>
      <t>轉口出境</t>
    </r>
  </si>
  <si>
    <t xml:space="preserve">            內港</t>
  </si>
  <si>
    <t xml:space="preserve">            九澳港</t>
  </si>
  <si>
    <t>二、陸路貨櫃流量</t>
  </si>
  <si>
    <t xml:space="preserve">            關閘</t>
  </si>
  <si>
    <t xml:space="preserve">            路城邊檢站</t>
  </si>
  <si>
    <r>
      <t>二、海路貨櫃貨物</t>
    </r>
  </si>
  <si>
    <t>公噸</t>
  </si>
  <si>
    <r>
      <t>77 995</t>
    </r>
    <r>
      <rPr>
        <vertAlign val="superscript"/>
        <sz val="10"/>
        <rFont val="Times New Roman"/>
        <family val="1"/>
      </rPr>
      <t>r</t>
    </r>
  </si>
  <si>
    <r>
      <t>20 256</t>
    </r>
    <r>
      <rPr>
        <vertAlign val="superscript"/>
        <sz val="10"/>
        <rFont val="Times New Roman"/>
        <family val="1"/>
      </rPr>
      <t>r</t>
    </r>
  </si>
  <si>
    <r>
      <t>三、陸路貨櫃貨物</t>
    </r>
  </si>
  <si>
    <r>
      <t xml:space="preserve">       </t>
    </r>
    <r>
      <rPr>
        <u val="single"/>
        <sz val="10"/>
        <rFont val="新細明體"/>
        <family val="1"/>
      </rPr>
      <t>經由</t>
    </r>
  </si>
  <si>
    <r>
      <t>四、航空貨運</t>
    </r>
  </si>
  <si>
    <t>　　轉口</t>
  </si>
  <si>
    <t>五、商業航機抵達班次</t>
  </si>
  <si>
    <t>班次</t>
  </si>
  <si>
    <t>六、新登記車輛數目</t>
  </si>
  <si>
    <t>數目</t>
  </si>
  <si>
    <t>　　汽車</t>
  </si>
  <si>
    <t>　　電單車</t>
  </si>
  <si>
    <r>
      <t>附註</t>
    </r>
    <r>
      <rPr>
        <i/>
        <sz val="9"/>
        <rFont val="Times New Roman"/>
        <family val="1"/>
      </rPr>
      <t xml:space="preserve"> :</t>
    </r>
    <r>
      <rPr>
        <i/>
        <sz val="9"/>
        <rFont val="新細明體"/>
        <family val="1"/>
      </rPr>
      <t>離澳及抵澳的貨櫃資料已包括轉口的數據</t>
    </r>
  </si>
  <si>
    <r>
      <t xml:space="preserve">3. </t>
    </r>
    <r>
      <rPr>
        <sz val="12"/>
        <rFont val="新細明體"/>
        <family val="1"/>
      </rPr>
      <t>通訊統計</t>
    </r>
  </si>
  <si>
    <r>
      <t>一、固定電話線數目</t>
    </r>
  </si>
  <si>
    <t>千</t>
  </si>
  <si>
    <t>..</t>
  </si>
  <si>
    <r>
      <t>二、流動電話線數目</t>
    </r>
  </si>
  <si>
    <t>三、國際互聯網</t>
  </si>
  <si>
    <r>
      <t xml:space="preserve">         </t>
    </r>
    <r>
      <rPr>
        <sz val="10"/>
        <rFont val="新細明體"/>
        <family val="1"/>
      </rPr>
      <t>用戶總數</t>
    </r>
  </si>
  <si>
    <r>
      <t xml:space="preserve">         </t>
    </r>
    <r>
      <rPr>
        <sz val="10"/>
        <rFont val="新細明體"/>
        <family val="1"/>
      </rPr>
      <t>總使用時數</t>
    </r>
  </si>
  <si>
    <r>
      <t>千小</t>
    </r>
    <r>
      <rPr>
        <sz val="10"/>
        <rFont val="新細明體"/>
        <family val="1"/>
      </rPr>
      <t>時</t>
    </r>
  </si>
  <si>
    <r>
      <t>四、寄出郵件數目</t>
    </r>
  </si>
  <si>
    <t>IＸ. 其他經濟指標</t>
  </si>
  <si>
    <r>
      <t xml:space="preserve">4. </t>
    </r>
    <r>
      <rPr>
        <sz val="12"/>
        <rFont val="新細明體"/>
        <family val="1"/>
      </rPr>
      <t>水、電力、燃料及水泥之消耗量</t>
    </r>
  </si>
  <si>
    <r>
      <t xml:space="preserve">         </t>
    </r>
    <r>
      <rPr>
        <sz val="10"/>
        <rFont val="新細明體"/>
        <family val="1"/>
      </rPr>
      <t>水</t>
    </r>
  </si>
  <si>
    <t>千立方米</t>
  </si>
  <si>
    <r>
      <t>　　電力</t>
    </r>
  </si>
  <si>
    <t>百萬千瓦小時</t>
  </si>
  <si>
    <r>
      <t>　　液體燃料</t>
    </r>
  </si>
  <si>
    <t>千公升</t>
  </si>
  <si>
    <r>
      <t>　　氣體燃料</t>
    </r>
  </si>
  <si>
    <r>
      <t>　　水泥</t>
    </r>
  </si>
  <si>
    <r>
      <t xml:space="preserve">5. </t>
    </r>
    <r>
      <rPr>
        <sz val="12"/>
        <rFont val="新細明體"/>
        <family val="1"/>
      </rPr>
      <t>居民出境及外遊統計</t>
    </r>
  </si>
  <si>
    <t>一、居民出境人次</t>
  </si>
  <si>
    <t xml:space="preserve">            經海路出境</t>
  </si>
  <si>
    <t xml:space="preserve">            經陸路出境</t>
  </si>
  <si>
    <t xml:space="preserve">            經空路出境</t>
  </si>
  <si>
    <t>二、居民隨團外遊人次</t>
  </si>
  <si>
    <r>
      <t>　　</t>
    </r>
    <r>
      <rPr>
        <u val="single"/>
        <sz val="10"/>
        <rFont val="新細明體"/>
        <family val="1"/>
      </rPr>
      <t>旅遊線</t>
    </r>
  </si>
  <si>
    <t>　　　中國大陸</t>
  </si>
  <si>
    <t>　　　台灣</t>
  </si>
  <si>
    <t>　　　日本</t>
  </si>
  <si>
    <t>　　　大韓民國</t>
  </si>
  <si>
    <t>　　　東南亞</t>
  </si>
  <si>
    <t>　　　歐洲</t>
  </si>
  <si>
    <t>　　　美洲</t>
  </si>
  <si>
    <t>　　　澳洲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</si>
  <si>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再出口</t>
    </r>
  </si>
  <si>
    <t>I. 國際與澳門主要經濟指標</t>
  </si>
  <si>
    <r>
      <t xml:space="preserve">1. </t>
    </r>
    <r>
      <rPr>
        <sz val="12"/>
        <rFont val="新細明體"/>
        <family val="1"/>
      </rPr>
      <t>國際經濟指標（與</t>
    </r>
    <r>
      <rPr>
        <sz val="12"/>
        <rFont val="新細明體"/>
        <family val="1"/>
      </rPr>
      <t>同期比較）</t>
    </r>
  </si>
  <si>
    <r>
      <t>同期變動率</t>
    </r>
    <r>
      <rPr>
        <sz val="8"/>
        <rFont val="Times New Roman"/>
        <family val="1"/>
      </rPr>
      <t xml:space="preserve"> (%)</t>
    </r>
  </si>
  <si>
    <t>第二季</t>
  </si>
  <si>
    <t>第三季</t>
  </si>
  <si>
    <t>第四季</t>
  </si>
  <si>
    <t>第一季</t>
  </si>
  <si>
    <t>　美國</t>
  </si>
  <si>
    <t>　　　本地生產總值</t>
  </si>
  <si>
    <t>　　　貨物出口</t>
  </si>
  <si>
    <t>　　　貨物進口</t>
  </si>
  <si>
    <t>　　　消費物價指數</t>
  </si>
  <si>
    <t>　　　失業率</t>
  </si>
  <si>
    <t>　日本</t>
  </si>
  <si>
    <t>　歐元區</t>
  </si>
  <si>
    <t>　　　本地生產總值</t>
  </si>
  <si>
    <t>　　　消費物價指數</t>
  </si>
  <si>
    <t>　中國大陸</t>
  </si>
  <si>
    <r>
      <t>　　　消費物價指數</t>
    </r>
    <r>
      <rPr>
        <sz val="10"/>
        <rFont val="Times New Roman"/>
        <family val="1"/>
      </rPr>
      <t xml:space="preserve"> ª</t>
    </r>
  </si>
  <si>
    <t>　香港</t>
  </si>
  <si>
    <r>
      <t xml:space="preserve">a  </t>
    </r>
    <r>
      <rPr>
        <i/>
        <sz val="9"/>
        <rFont val="新細明體"/>
        <family val="1"/>
      </rPr>
      <t>累計同期變動率</t>
    </r>
  </si>
  <si>
    <t>資料來源：美國經濟分析局、美國普查局、美國勞工統計局</t>
  </si>
  <si>
    <t xml:space="preserve">                  日本經濟社會綜合研究所、日本財務省、日本統計局</t>
  </si>
  <si>
    <t xml:space="preserve">                  歐洲統計辦公室</t>
  </si>
  <si>
    <t xml:space="preserve">                 中華人民共和國國家統計局</t>
  </si>
  <si>
    <t xml:space="preserve">                 香港特別行政區政府統計處</t>
  </si>
  <si>
    <t>I. 國際與澳門主要經濟指標</t>
  </si>
  <si>
    <r>
      <t xml:space="preserve">2. </t>
    </r>
    <r>
      <rPr>
        <sz val="12"/>
        <rFont val="新細明體"/>
        <family val="1"/>
      </rPr>
      <t>國際經濟指標（與前期比較）</t>
    </r>
  </si>
  <si>
    <r>
      <t>與前期比較之變動率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經季節性調整</t>
    </r>
    <r>
      <rPr>
        <sz val="8"/>
        <rFont val="Times New Roman"/>
        <family val="1"/>
      </rPr>
      <t>) (%)</t>
    </r>
  </si>
  <si>
    <t>第二季</t>
  </si>
  <si>
    <t>第三季</t>
  </si>
  <si>
    <t>第四季</t>
  </si>
  <si>
    <t>第一季</t>
  </si>
  <si>
    <t>　美國</t>
  </si>
  <si>
    <t>　　　本地生產總值</t>
  </si>
  <si>
    <t>　　　貨物出口</t>
  </si>
  <si>
    <t>　　　貨物進口</t>
  </si>
  <si>
    <t>　日本</t>
  </si>
  <si>
    <t>　香港</t>
  </si>
  <si>
    <t>資料來源：美國經濟分析局、美國普查局、美國勞工統計局</t>
  </si>
  <si>
    <t xml:space="preserve">                  日本經濟社會綜合研究所、日本財務省、日本統計局</t>
  </si>
  <si>
    <t xml:space="preserve">                  香港特別行政區政府統計處</t>
  </si>
  <si>
    <r>
      <t xml:space="preserve">3. </t>
    </r>
    <r>
      <rPr>
        <sz val="12"/>
        <rFont val="新細明體"/>
        <family val="1"/>
      </rPr>
      <t>澳門本地生產總值</t>
    </r>
  </si>
  <si>
    <r>
      <t xml:space="preserve"> 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當年價格，億澳門元</t>
    </r>
    <r>
      <rPr>
        <sz val="10"/>
        <rFont val="Times New Roman"/>
        <family val="1"/>
      </rPr>
      <t>)</t>
    </r>
  </si>
  <si>
    <r>
      <t xml:space="preserve">  </t>
    </r>
    <r>
      <rPr>
        <sz val="10"/>
        <rFont val="新細明體"/>
        <family val="1"/>
      </rPr>
      <t>名義增長率</t>
    </r>
    <r>
      <rPr>
        <sz val="10"/>
        <rFont val="Times New Roman"/>
        <family val="1"/>
      </rPr>
      <t xml:space="preserve"> (%)</t>
    </r>
  </si>
  <si>
    <r>
      <t xml:space="preserve">  </t>
    </r>
    <r>
      <rPr>
        <sz val="10"/>
        <rFont val="新細明體"/>
        <family val="1"/>
      </rPr>
      <t>實質增長率</t>
    </r>
    <r>
      <rPr>
        <sz val="10"/>
        <rFont val="Times New Roman"/>
        <family val="1"/>
      </rPr>
      <t xml:space="preserve"> (%)</t>
    </r>
  </si>
  <si>
    <r>
      <t xml:space="preserve"> 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當年價格，千澳門元</t>
    </r>
    <r>
      <rPr>
        <sz val="10"/>
        <rFont val="Times New Roman"/>
        <family val="1"/>
      </rPr>
      <t>)</t>
    </r>
  </si>
  <si>
    <r>
      <t xml:space="preserve">4.  </t>
    </r>
    <r>
      <rPr>
        <sz val="12"/>
        <rFont val="新細明體"/>
        <family val="1"/>
      </rPr>
      <t>澳門主要經濟指標</t>
    </r>
  </si>
  <si>
    <t>2001</t>
  </si>
  <si>
    <t>第一季至</t>
  </si>
  <si>
    <r>
      <t>同期變動率</t>
    </r>
    <r>
      <rPr>
        <sz val="8"/>
        <rFont val="Times New Roman"/>
        <family val="1"/>
      </rPr>
      <t>(%)</t>
    </r>
  </si>
  <si>
    <r>
      <t>一、對外貿易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百萬澳門元</t>
    </r>
    <r>
      <rPr>
        <b/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</si>
  <si>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總出口</t>
    </r>
  </si>
  <si>
    <r>
      <t xml:space="preserve">              </t>
    </r>
    <r>
      <rPr>
        <sz val="10"/>
        <rFont val="新細明體"/>
        <family val="1"/>
      </rPr>
      <t>紡織品及成衣</t>
    </r>
  </si>
  <si>
    <r>
      <t xml:space="preserve">              </t>
    </r>
    <r>
      <rPr>
        <sz val="10"/>
        <rFont val="新細明體"/>
        <family val="1"/>
      </rPr>
      <t>其他產品</t>
    </r>
  </si>
  <si>
    <r>
      <t xml:space="preserve">         </t>
    </r>
    <r>
      <rPr>
        <sz val="10"/>
        <rFont val="新細明體"/>
        <family val="1"/>
      </rPr>
      <t>總進口</t>
    </r>
  </si>
  <si>
    <r>
      <t xml:space="preserve">         </t>
    </r>
    <r>
      <rPr>
        <sz val="10"/>
        <rFont val="新細明體"/>
        <family val="1"/>
      </rPr>
      <t>貿易餘額</t>
    </r>
  </si>
  <si>
    <t>二、旅遊</t>
  </si>
  <si>
    <r>
      <t xml:space="preserve">         </t>
    </r>
    <r>
      <rPr>
        <sz val="10"/>
        <rFont val="新細明體"/>
        <family val="1"/>
      </rPr>
      <t>旅客入境總數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千人次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</si>
  <si>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旅客平均逗留日數</t>
    </r>
  </si>
  <si>
    <t xml:space="preserve">… </t>
  </si>
  <si>
    <t>0.2ª</t>
  </si>
  <si>
    <r>
      <t xml:space="preserve">         </t>
    </r>
    <r>
      <rPr>
        <sz val="10"/>
        <rFont val="新細明體"/>
        <family val="1"/>
      </rPr>
      <t>旅客人均消費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</si>
  <si>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酒店入住率</t>
    </r>
    <r>
      <rPr>
        <sz val="10"/>
        <rFont val="Times New Roman"/>
        <family val="1"/>
      </rPr>
      <t xml:space="preserve"> (%)</t>
    </r>
  </si>
  <si>
    <r>
      <t>2.7</t>
    </r>
    <r>
      <rPr>
        <vertAlign val="superscript"/>
        <sz val="10"/>
        <rFont val="Times New Roman"/>
        <family val="1"/>
      </rPr>
      <t>b</t>
    </r>
  </si>
  <si>
    <t>三、建築與不動產</t>
  </si>
  <si>
    <r>
      <t xml:space="preserve">         </t>
    </r>
    <r>
      <rPr>
        <sz val="10"/>
        <rFont val="新細明體"/>
        <family val="1"/>
      </rPr>
      <t>公共工程開支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</si>
  <si>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私人建築工程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</si>
  <si>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t>　　　　新動工樓宇總面積</t>
  </si>
  <si>
    <t>　　　　建成樓宇總面積</t>
  </si>
  <si>
    <r>
      <t xml:space="preserve">         </t>
    </r>
    <r>
      <rPr>
        <sz val="10"/>
        <rFont val="新細明體"/>
        <family val="1"/>
      </rPr>
      <t>樓宇單位買賣數目</t>
    </r>
  </si>
  <si>
    <t>四、運輸</t>
  </si>
  <si>
    <r>
      <t>　　海路貨櫃貨物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</si>
  <si>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r>
      <t>77 995</t>
    </r>
    <r>
      <rPr>
        <vertAlign val="superscript"/>
        <sz val="10"/>
        <rFont val="Times New Roman"/>
        <family val="1"/>
      </rPr>
      <t>r</t>
    </r>
  </si>
  <si>
    <r>
      <t>　　陸路貨櫃貨物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</si>
  <si>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t>　　商業航機抵達班次</t>
  </si>
  <si>
    <t>　　行駛車輛數目</t>
  </si>
  <si>
    <r>
      <t>　　流動電話線數目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</t>
    </r>
    <r>
      <rPr>
        <sz val="10"/>
        <rFont val="Times New Roman"/>
        <family val="1"/>
      </rPr>
      <t>)</t>
    </r>
  </si>
  <si>
    <r>
      <t>　　國際互聯網用戶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</t>
    </r>
    <r>
      <rPr>
        <sz val="10"/>
        <rFont val="Times New Roman"/>
        <family val="1"/>
      </rPr>
      <t>)</t>
    </r>
  </si>
  <si>
    <r>
      <t>　　航空貨運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</si>
  <si>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t>五、消費與物價</t>
  </si>
  <si>
    <r>
      <t xml:space="preserve">         </t>
    </r>
    <r>
      <rPr>
        <sz val="10"/>
        <rFont val="新細明體"/>
        <family val="1"/>
      </rPr>
      <t>通貨膨脹率</t>
    </r>
    <r>
      <rPr>
        <sz val="10"/>
        <rFont val="Times New Roman"/>
        <family val="1"/>
      </rPr>
      <t xml:space="preserve"> (%)</t>
    </r>
  </si>
  <si>
    <r>
      <t>0.2</t>
    </r>
    <r>
      <rPr>
        <vertAlign val="superscript"/>
        <sz val="10"/>
        <rFont val="Times New Roman"/>
        <family val="1"/>
      </rPr>
      <t>c</t>
    </r>
  </si>
  <si>
    <t xml:space="preserve">.. </t>
  </si>
  <si>
    <r>
      <t xml:space="preserve">         </t>
    </r>
    <r>
      <rPr>
        <sz val="10"/>
        <rFont val="新細明體"/>
        <family val="1"/>
      </rPr>
      <t>消費物價指數</t>
    </r>
  </si>
  <si>
    <r>
      <t xml:space="preserve">         </t>
    </r>
    <r>
      <rPr>
        <sz val="10"/>
        <rFont val="新細明體"/>
        <family val="1"/>
      </rPr>
      <t>旅遊物價指數</t>
    </r>
  </si>
  <si>
    <r>
      <t xml:space="preserve">         </t>
    </r>
    <r>
      <rPr>
        <sz val="10"/>
        <rFont val="新細明體"/>
        <family val="1"/>
      </rPr>
      <t>零售業銷售額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</si>
  <si>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t xml:space="preserve">～ </t>
  </si>
  <si>
    <r>
      <t>1 183</t>
    </r>
    <r>
      <rPr>
        <vertAlign val="superscript"/>
        <sz val="10"/>
        <rFont val="Times New Roman"/>
        <family val="1"/>
      </rPr>
      <t>r</t>
    </r>
  </si>
  <si>
    <t>六、就業</t>
  </si>
  <si>
    <r>
      <t xml:space="preserve">         </t>
    </r>
    <r>
      <rPr>
        <sz val="10"/>
        <rFont val="新細明體"/>
        <family val="1"/>
      </rPr>
      <t>失業率</t>
    </r>
    <r>
      <rPr>
        <sz val="10"/>
        <rFont val="Times New Roman"/>
        <family val="1"/>
      </rPr>
      <t xml:space="preserve"> (%)</t>
    </r>
  </si>
  <si>
    <t>..</t>
  </si>
  <si>
    <r>
      <t xml:space="preserve"> -0.7</t>
    </r>
    <r>
      <rPr>
        <vertAlign val="superscript"/>
        <sz val="10"/>
        <rFont val="Times New Roman"/>
        <family val="1"/>
      </rPr>
      <t>b</t>
    </r>
  </si>
  <si>
    <r>
      <t xml:space="preserve">         </t>
    </r>
    <r>
      <rPr>
        <sz val="10"/>
        <rFont val="新細明體"/>
        <family val="1"/>
      </rPr>
      <t>收入中位數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</si>
  <si>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期末外地勞工人數</t>
    </r>
  </si>
  <si>
    <t>七、公共賬目（百萬澳門元）</t>
  </si>
  <si>
    <r>
      <t xml:space="preserve">         </t>
    </r>
    <r>
      <rPr>
        <sz val="10"/>
        <rFont val="新細明體"/>
        <family val="1"/>
      </rPr>
      <t>總收入</t>
    </r>
  </si>
  <si>
    <r>
      <t>2 098.7</t>
    </r>
    <r>
      <rPr>
        <vertAlign val="superscript"/>
        <sz val="10"/>
        <rFont val="Times New Roman"/>
        <family val="1"/>
      </rPr>
      <t>d</t>
    </r>
  </si>
  <si>
    <r>
      <t>2 256.4</t>
    </r>
    <r>
      <rPr>
        <vertAlign val="superscript"/>
        <sz val="10"/>
        <rFont val="Times New Roman"/>
        <family val="1"/>
      </rPr>
      <t>d</t>
    </r>
  </si>
  <si>
    <r>
      <t>2 503.7</t>
    </r>
    <r>
      <rPr>
        <vertAlign val="superscript"/>
        <sz val="10"/>
        <rFont val="Times New Roman"/>
        <family val="1"/>
      </rPr>
      <t>d</t>
    </r>
  </si>
  <si>
    <r>
      <t>2 110.5</t>
    </r>
    <r>
      <rPr>
        <vertAlign val="superscript"/>
        <sz val="10"/>
        <rFont val="Times New Roman"/>
        <family val="1"/>
      </rPr>
      <t>d</t>
    </r>
  </si>
  <si>
    <r>
      <t>2 573.8</t>
    </r>
    <r>
      <rPr>
        <vertAlign val="superscript"/>
        <sz val="10"/>
        <rFont val="Times New Roman"/>
        <family val="1"/>
      </rPr>
      <t>d</t>
    </r>
  </si>
  <si>
    <r>
      <t xml:space="preserve">             </t>
    </r>
    <r>
      <rPr>
        <sz val="10"/>
        <rFont val="新細明體"/>
        <family val="1"/>
      </rPr>
      <t>博彩稅總收入</t>
    </r>
  </si>
  <si>
    <r>
      <t xml:space="preserve">         </t>
    </r>
    <r>
      <rPr>
        <sz val="10"/>
        <rFont val="新細明體"/>
        <family val="1"/>
      </rPr>
      <t>總開支</t>
    </r>
  </si>
  <si>
    <r>
      <t>2 597.4</t>
    </r>
    <r>
      <rPr>
        <vertAlign val="superscript"/>
        <sz val="10"/>
        <rFont val="Times New Roman"/>
        <family val="1"/>
      </rPr>
      <t>d</t>
    </r>
  </si>
  <si>
    <r>
      <t>1 975.0</t>
    </r>
    <r>
      <rPr>
        <vertAlign val="superscript"/>
        <sz val="10"/>
        <rFont val="Times New Roman"/>
        <family val="1"/>
      </rPr>
      <t>d</t>
    </r>
  </si>
  <si>
    <r>
      <t>2 832.0</t>
    </r>
    <r>
      <rPr>
        <vertAlign val="superscript"/>
        <sz val="10"/>
        <rFont val="Times New Roman"/>
        <family val="1"/>
      </rPr>
      <t>d</t>
    </r>
  </si>
  <si>
    <r>
      <t>1 921.7</t>
    </r>
    <r>
      <rPr>
        <vertAlign val="superscript"/>
        <sz val="10"/>
        <rFont val="Times New Roman"/>
        <family val="1"/>
      </rPr>
      <t>d</t>
    </r>
  </si>
  <si>
    <r>
      <t>1 787.9</t>
    </r>
    <r>
      <rPr>
        <vertAlign val="superscript"/>
        <sz val="10"/>
        <rFont val="Times New Roman"/>
        <family val="1"/>
      </rPr>
      <t>d</t>
    </r>
  </si>
  <si>
    <t>八、金融（期末數值，百萬澳門元）</t>
  </si>
  <si>
    <r>
      <t>　　狹義貨幣供應量</t>
    </r>
    <r>
      <rPr>
        <sz val="10"/>
        <rFont val="Times New Roman"/>
        <family val="1"/>
      </rPr>
      <t xml:space="preserve"> (M1)</t>
    </r>
    <r>
      <rPr>
        <vertAlign val="superscript"/>
        <sz val="10"/>
        <rFont val="Times New Roman"/>
        <family val="1"/>
      </rPr>
      <t>e</t>
    </r>
  </si>
  <si>
    <r>
      <t>4 929.0</t>
    </r>
    <r>
      <rPr>
        <vertAlign val="superscript"/>
        <sz val="10"/>
        <rFont val="Times New Roman"/>
        <family val="1"/>
      </rPr>
      <t>r</t>
    </r>
  </si>
  <si>
    <r>
      <t>　　廣義貨幣供應量</t>
    </r>
    <r>
      <rPr>
        <sz val="10"/>
        <rFont val="Times New Roman"/>
        <family val="1"/>
      </rPr>
      <t xml:space="preserve"> (M2)</t>
    </r>
  </si>
  <si>
    <r>
      <t>89 304.9</t>
    </r>
    <r>
      <rPr>
        <vertAlign val="superscript"/>
        <sz val="10"/>
        <rFont val="Times New Roman"/>
        <family val="1"/>
      </rPr>
      <t>r</t>
    </r>
  </si>
  <si>
    <r>
      <t>90 570.6</t>
    </r>
    <r>
      <rPr>
        <vertAlign val="superscript"/>
        <sz val="10"/>
        <rFont val="Times New Roman"/>
        <family val="1"/>
      </rPr>
      <t>r</t>
    </r>
  </si>
  <si>
    <t>　　機構及私人信貸</t>
  </si>
  <si>
    <r>
      <t>43 976.0</t>
    </r>
    <r>
      <rPr>
        <vertAlign val="superscript"/>
        <sz val="10"/>
        <rFont val="Times New Roman"/>
        <family val="1"/>
      </rPr>
      <t>r</t>
    </r>
  </si>
  <si>
    <t>　　對外資產淨值</t>
  </si>
  <si>
    <r>
      <t>74 388.0</t>
    </r>
    <r>
      <rPr>
        <vertAlign val="superscript"/>
        <sz val="10"/>
        <rFont val="Times New Roman"/>
        <family val="1"/>
      </rPr>
      <t>r</t>
    </r>
  </si>
  <si>
    <r>
      <t>76 305.5</t>
    </r>
    <r>
      <rPr>
        <vertAlign val="superscript"/>
        <sz val="10"/>
        <rFont val="Times New Roman"/>
        <family val="1"/>
      </rPr>
      <t>r</t>
    </r>
  </si>
  <si>
    <t>九、其他</t>
  </si>
  <si>
    <t>　　新組成公司數目</t>
  </si>
  <si>
    <t>　　解散公司數目</t>
  </si>
  <si>
    <r>
      <t>　　電力消耗量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百萬千瓦小時</t>
    </r>
    <r>
      <rPr>
        <sz val="10"/>
        <rFont val="Times New Roman"/>
        <family val="1"/>
      </rPr>
      <t>)</t>
    </r>
  </si>
  <si>
    <t>附註：二零零一年的對外貿易數字在日後會作出修訂</t>
  </si>
  <si>
    <r>
      <t xml:space="preserve">a </t>
    </r>
    <r>
      <rPr>
        <i/>
        <sz val="9"/>
        <rFont val="新細明體"/>
        <family val="1"/>
      </rPr>
      <t>日</t>
    </r>
  </si>
  <si>
    <r>
      <t xml:space="preserve">b </t>
    </r>
    <r>
      <rPr>
        <i/>
        <sz val="9"/>
        <rFont val="新細明體"/>
        <family val="1"/>
      </rPr>
      <t>百分點</t>
    </r>
  </si>
  <si>
    <r>
      <t xml:space="preserve">c </t>
    </r>
    <r>
      <rPr>
        <i/>
        <sz val="9"/>
        <rFont val="新細明體"/>
        <family val="1"/>
      </rPr>
      <t>不包括屋租的綜合消費物價指數通貨膨脹率</t>
    </r>
  </si>
  <si>
    <r>
      <t xml:space="preserve">d </t>
    </r>
    <r>
      <rPr>
        <i/>
        <sz val="9"/>
        <rFont val="新細明體"/>
        <family val="1"/>
      </rPr>
      <t>不包括指定之賬目</t>
    </r>
  </si>
  <si>
    <r>
      <t xml:space="preserve">e </t>
    </r>
    <r>
      <rPr>
        <i/>
        <sz val="9"/>
        <rFont val="新細明體"/>
        <family val="1"/>
      </rPr>
      <t>自二零零一年一月起，澳門金融管理局所公佈貨幣供應量Ｍ</t>
    </r>
    <r>
      <rPr>
        <i/>
        <sz val="9"/>
        <rFont val="Times New Roman"/>
        <family val="1"/>
      </rPr>
      <t>1</t>
    </r>
    <r>
      <rPr>
        <i/>
        <sz val="9"/>
        <rFont val="新細明體"/>
        <family val="1"/>
      </rPr>
      <t>只包括流通貨幣及活期存款。儲蓄存款則變為準貨幣負債的組成部份。</t>
    </r>
  </si>
  <si>
    <t>II. 對外貿易</t>
  </si>
  <si>
    <r>
      <t>1</t>
    </r>
    <r>
      <rPr>
        <sz val="12"/>
        <rFont val="新細明體"/>
        <family val="1"/>
      </rPr>
      <t>. 對外貿易概</t>
    </r>
    <r>
      <rPr>
        <sz val="12"/>
        <rFont val="新細明體"/>
        <family val="1"/>
      </rPr>
      <t>況</t>
    </r>
  </si>
  <si>
    <t>2001</t>
  </si>
  <si>
    <t>第一季至</t>
  </si>
  <si>
    <t>第二季</t>
  </si>
  <si>
    <t>第三季</t>
  </si>
  <si>
    <t>第四季</t>
  </si>
  <si>
    <t>第一季</t>
  </si>
  <si>
    <t>一、總進口</t>
  </si>
  <si>
    <t>百萬澳門元</t>
  </si>
  <si>
    <t>同期變動率</t>
  </si>
  <si>
    <t>二、總出口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</si>
  <si>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本地產品出口</t>
    </r>
  </si>
  <si>
    <r>
      <t>三、貿易餘額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</si>
  <si>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>四、出口／進口比率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</si>
  <si>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r>
      <t>五、對外貿易指數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(1996=100)</t>
    </r>
  </si>
  <si>
    <r>
      <t>　　</t>
    </r>
    <r>
      <rPr>
        <u val="single"/>
        <sz val="10"/>
        <rFont val="新細明體"/>
        <family val="1"/>
      </rPr>
      <t>1. 進口</t>
    </r>
  </si>
  <si>
    <t>　　　價值指數</t>
  </si>
  <si>
    <t>指數</t>
  </si>
  <si>
    <t>　　　單位價格指數</t>
  </si>
  <si>
    <t>　　　數量指數</t>
  </si>
  <si>
    <r>
      <t>　　</t>
    </r>
    <r>
      <rPr>
        <u val="single"/>
        <sz val="10"/>
        <rFont val="新細明體"/>
        <family val="1"/>
      </rPr>
      <t>2. 出口</t>
    </r>
  </si>
  <si>
    <r>
      <t>　　</t>
    </r>
    <r>
      <rPr>
        <u val="single"/>
        <sz val="10"/>
        <rFont val="新細明體"/>
        <family val="1"/>
      </rPr>
      <t>3. 貿易條件指數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新細明體"/>
        <family val="1"/>
      </rPr>
      <t>c</t>
    </r>
  </si>
  <si>
    <t>附註：二零零一年的對外貿易數字在日後會作出修訂</t>
  </si>
  <si>
    <r>
      <t xml:space="preserve">a </t>
    </r>
    <r>
      <rPr>
        <i/>
        <sz val="9"/>
        <rFont val="新細明體"/>
        <family val="1"/>
      </rPr>
      <t>貿易餘額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總出口</t>
    </r>
    <r>
      <rPr>
        <i/>
        <sz val="9"/>
        <rFont val="Times New Roman"/>
        <family val="1"/>
      </rPr>
      <t xml:space="preserve"> - </t>
    </r>
    <r>
      <rPr>
        <i/>
        <sz val="9"/>
        <rFont val="新細明體"/>
        <family val="1"/>
      </rPr>
      <t>總進口</t>
    </r>
  </si>
  <si>
    <r>
      <t xml:space="preserve">b </t>
    </r>
    <r>
      <rPr>
        <i/>
        <sz val="9"/>
        <rFont val="新細明體"/>
        <family val="1"/>
      </rPr>
      <t>出口／進口比率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總出口／總進口</t>
    </r>
    <r>
      <rPr>
        <i/>
        <sz val="9"/>
        <rFont val="Times New Roman"/>
        <family val="1"/>
      </rPr>
      <t xml:space="preserve"> × 100</t>
    </r>
  </si>
  <si>
    <r>
      <t xml:space="preserve">c </t>
    </r>
    <r>
      <rPr>
        <i/>
        <sz val="9"/>
        <rFont val="新細明體"/>
        <family val="1"/>
      </rPr>
      <t>貿易條件指數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出口單位價格指數</t>
    </r>
    <r>
      <rPr>
        <i/>
        <sz val="9"/>
        <rFont val="Times New Roman"/>
        <family val="1"/>
      </rPr>
      <t xml:space="preserve"> / </t>
    </r>
    <r>
      <rPr>
        <i/>
        <sz val="9"/>
        <rFont val="新細明體"/>
        <family val="1"/>
      </rPr>
      <t>進口單位價格指數</t>
    </r>
    <r>
      <rPr>
        <i/>
        <sz val="9"/>
        <rFont val="Times New Roman"/>
        <family val="1"/>
      </rPr>
      <t xml:space="preserve"> × 100</t>
    </r>
  </si>
  <si>
    <r>
      <t xml:space="preserve">2. </t>
    </r>
    <r>
      <rPr>
        <sz val="12"/>
        <rFont val="新細明體"/>
        <family val="1"/>
      </rPr>
      <t>貨物進口統計</t>
    </r>
  </si>
  <si>
    <r>
      <t>結構</t>
    </r>
    <r>
      <rPr>
        <b/>
        <sz val="10"/>
        <rFont val="Times New Roman"/>
        <family val="1"/>
      </rPr>
      <t xml:space="preserve"> (%)</t>
    </r>
  </si>
  <si>
    <r>
      <t xml:space="preserve">  </t>
    </r>
    <r>
      <rPr>
        <b/>
        <sz val="10"/>
        <rFont val="新細明體"/>
        <family val="1"/>
      </rPr>
      <t>總進口</t>
    </r>
  </si>
  <si>
    <t>百萬澳門元</t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</si>
  <si>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</si>
  <si>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</t>
    </r>
    <r>
      <rPr>
        <u val="single"/>
        <sz val="10"/>
        <rFont val="新細明體"/>
        <family val="1"/>
      </rPr>
      <t>1. 來源地</t>
    </r>
  </si>
  <si>
    <t xml:space="preserve">         中國大陸</t>
  </si>
  <si>
    <t xml:space="preserve">         香港</t>
  </si>
  <si>
    <r>
      <t xml:space="preserve">         </t>
    </r>
    <r>
      <rPr>
        <sz val="10"/>
        <rFont val="新細明體"/>
        <family val="1"/>
      </rPr>
      <t>台灣</t>
    </r>
  </si>
  <si>
    <t xml:space="preserve">         日本</t>
  </si>
  <si>
    <t xml:space="preserve">         歐洲聯盟</t>
  </si>
  <si>
    <t xml:space="preserve">         美國</t>
  </si>
  <si>
    <r>
      <t xml:space="preserve">     </t>
    </r>
    <r>
      <rPr>
        <u val="single"/>
        <sz val="10"/>
        <rFont val="新細明體"/>
        <family val="1"/>
      </rPr>
      <t>2. 貨物</t>
    </r>
  </si>
  <si>
    <r>
      <t xml:space="preserve">         </t>
    </r>
    <r>
      <rPr>
        <sz val="10"/>
        <rFont val="新細明體"/>
        <family val="1"/>
      </rPr>
      <t>消費品</t>
    </r>
  </si>
  <si>
    <t>　　　　　食品、飲品及草</t>
  </si>
  <si>
    <t>　　　　　成衣及鞋類</t>
  </si>
  <si>
    <t>　　　　　車輛</t>
  </si>
  <si>
    <t>　　　　　其他</t>
  </si>
  <si>
    <r>
      <t xml:space="preserve">          </t>
    </r>
    <r>
      <rPr>
        <sz val="10"/>
        <rFont val="新細明體"/>
        <family val="1"/>
      </rPr>
      <t>原料及半製成品</t>
    </r>
  </si>
  <si>
    <t>　　　　　紡織材料</t>
  </si>
  <si>
    <t>　　　　　建築材料</t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</si>
  <si>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</si>
  <si>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</si>
  <si>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附註：二零零一年的對外貿易數字在日後會作出修訂</t>
  </si>
  <si>
    <t>II. 對外貿易</t>
  </si>
  <si>
    <r>
      <t xml:space="preserve">3. </t>
    </r>
    <r>
      <rPr>
        <sz val="12"/>
        <rFont val="新細明體"/>
        <family val="1"/>
      </rPr>
      <t>貨物出口統計</t>
    </r>
  </si>
  <si>
    <t>第一季至</t>
  </si>
  <si>
    <r>
      <t>結構</t>
    </r>
    <r>
      <rPr>
        <b/>
        <sz val="10"/>
        <rFont val="Times New Roman"/>
        <family val="1"/>
      </rPr>
      <t xml:space="preserve"> (%)</t>
    </r>
  </si>
  <si>
    <r>
      <t xml:space="preserve">  </t>
    </r>
    <r>
      <rPr>
        <b/>
        <sz val="10"/>
        <rFont val="新細明體"/>
        <family val="1"/>
      </rPr>
      <t>總出口</t>
    </r>
  </si>
  <si>
    <r>
      <t xml:space="preserve">     </t>
    </r>
    <r>
      <rPr>
        <u val="single"/>
        <sz val="10"/>
        <rFont val="新細明體"/>
        <family val="1"/>
      </rPr>
      <t>1. 目的地</t>
    </r>
  </si>
  <si>
    <r>
      <t xml:space="preserve"> 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</si>
  <si>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　針織</t>
    </r>
  </si>
  <si>
    <r>
      <t xml:space="preserve">              </t>
    </r>
    <r>
      <rPr>
        <sz val="10"/>
        <rFont val="新細明體"/>
        <family val="1"/>
      </rPr>
      <t>　梭織</t>
    </r>
  </si>
  <si>
    <r>
      <t xml:space="preserve">         </t>
    </r>
    <r>
      <rPr>
        <sz val="10"/>
        <rFont val="新細明體"/>
        <family val="1"/>
      </rPr>
      <t>其他紡織品</t>
    </r>
  </si>
  <si>
    <r>
      <t xml:space="preserve">         </t>
    </r>
    <r>
      <rPr>
        <sz val="10"/>
        <rFont val="新細明體"/>
        <family val="1"/>
      </rPr>
      <t>機器、設備及零件</t>
    </r>
  </si>
  <si>
    <r>
      <t xml:space="preserve">         </t>
    </r>
    <r>
      <rPr>
        <sz val="10"/>
        <rFont val="新細明體"/>
        <family val="1"/>
      </rPr>
      <t>鞋類</t>
    </r>
  </si>
  <si>
    <t>II. 對外貿易</t>
  </si>
  <si>
    <r>
      <t xml:space="preserve">4. </t>
    </r>
    <r>
      <rPr>
        <sz val="12"/>
        <rFont val="新細明體"/>
        <family val="1"/>
      </rPr>
      <t>本地產品出口統計</t>
    </r>
  </si>
  <si>
    <r>
      <t xml:space="preserve">  本地產品出口</t>
    </r>
  </si>
  <si>
    <r>
      <t xml:space="preserve">         </t>
    </r>
    <r>
      <rPr>
        <u val="single"/>
        <sz val="10"/>
        <rFont val="新細明體"/>
        <family val="1"/>
      </rPr>
      <t>1. 目的地</t>
    </r>
    <r>
      <rPr>
        <sz val="10"/>
        <rFont val="新細明體"/>
        <family val="1"/>
      </rPr>
      <t xml:space="preserve"> </t>
    </r>
  </si>
  <si>
    <t xml:space="preserve">             美國</t>
  </si>
  <si>
    <t xml:space="preserve">             歐洲聯盟</t>
  </si>
  <si>
    <t xml:space="preserve">             中國大陸</t>
  </si>
  <si>
    <t xml:space="preserve">             香港</t>
  </si>
  <si>
    <t xml:space="preserve">             台灣</t>
  </si>
  <si>
    <r>
      <t xml:space="preserve">             </t>
    </r>
    <r>
      <rPr>
        <sz val="10"/>
        <rFont val="新細明體"/>
        <family val="1"/>
      </rPr>
      <t>日本</t>
    </r>
  </si>
  <si>
    <r>
      <t xml:space="preserve">        </t>
    </r>
    <r>
      <rPr>
        <u val="single"/>
        <sz val="10"/>
        <rFont val="新細明體"/>
        <family val="1"/>
      </rPr>
      <t>2. 貨物</t>
    </r>
  </si>
  <si>
    <r>
      <t xml:space="preserve">             </t>
    </r>
    <r>
      <rPr>
        <sz val="10"/>
        <rFont val="新細明體"/>
        <family val="1"/>
      </rPr>
      <t>成衣</t>
    </r>
  </si>
  <si>
    <r>
      <t xml:space="preserve">                  </t>
    </r>
    <r>
      <rPr>
        <sz val="10"/>
        <rFont val="新細明體"/>
        <family val="1"/>
      </rPr>
      <t>針織</t>
    </r>
  </si>
  <si>
    <r>
      <t xml:space="preserve">                  </t>
    </r>
    <r>
      <rPr>
        <sz val="10"/>
        <rFont val="新細明體"/>
        <family val="1"/>
      </rPr>
      <t>梭織</t>
    </r>
  </si>
  <si>
    <r>
      <t xml:space="preserve">            </t>
    </r>
    <r>
      <rPr>
        <sz val="10"/>
        <rFont val="新細明體"/>
        <family val="1"/>
      </rPr>
      <t>其他紡織品</t>
    </r>
  </si>
  <si>
    <r>
      <t xml:space="preserve">         </t>
    </r>
    <r>
      <rPr>
        <sz val="10"/>
        <rFont val="新細明體"/>
        <family val="1"/>
      </rPr>
      <t>　機器、設備及零件</t>
    </r>
  </si>
  <si>
    <t xml:space="preserve">             鞋類</t>
  </si>
  <si>
    <r>
      <t xml:space="preserve">5. </t>
    </r>
    <r>
      <rPr>
        <sz val="12"/>
        <rFont val="新細明體"/>
        <family val="1"/>
      </rPr>
      <t>再出口統計</t>
    </r>
  </si>
  <si>
    <r>
      <t xml:space="preserve">  </t>
    </r>
    <r>
      <rPr>
        <b/>
        <sz val="10"/>
        <rFont val="新細明體"/>
        <family val="1"/>
      </rPr>
      <t>再出口</t>
    </r>
  </si>
  <si>
    <r>
      <t xml:space="preserve">      </t>
    </r>
    <r>
      <rPr>
        <u val="single"/>
        <sz val="10"/>
        <rFont val="新細明體"/>
        <family val="1"/>
      </rPr>
      <t>1. 目的地</t>
    </r>
  </si>
  <si>
    <t xml:space="preserve">          中國大陸</t>
  </si>
  <si>
    <t xml:space="preserve">          香港</t>
  </si>
  <si>
    <t>百萬澳門元</t>
  </si>
  <si>
    <r>
      <t>同期變動率</t>
    </r>
    <r>
      <rPr>
        <sz val="10"/>
        <rFont val="Times New Roman"/>
        <family val="1"/>
      </rPr>
      <t xml:space="preserve">  </t>
    </r>
  </si>
  <si>
    <t xml:space="preserve">           美國</t>
  </si>
  <si>
    <r>
      <t>同期變動率　</t>
    </r>
    <r>
      <rPr>
        <sz val="10"/>
        <rFont val="Times New Roman"/>
        <family val="1"/>
      </rPr>
      <t xml:space="preserve">  </t>
    </r>
  </si>
  <si>
    <r>
      <t xml:space="preserve">      </t>
    </r>
    <r>
      <rPr>
        <u val="single"/>
        <sz val="10"/>
        <rFont val="新細明體"/>
        <family val="1"/>
      </rPr>
      <t>2. 貨物</t>
    </r>
  </si>
  <si>
    <t xml:space="preserve">          消費品</t>
  </si>
  <si>
    <t>百萬澳門元</t>
  </si>
  <si>
    <r>
      <t>同期變動率</t>
    </r>
    <r>
      <rPr>
        <sz val="10"/>
        <rFont val="Times New Roman"/>
        <family val="1"/>
      </rPr>
      <t xml:space="preserve">  </t>
    </r>
  </si>
  <si>
    <t>　　　　　食品、飲品及草</t>
  </si>
  <si>
    <r>
      <t xml:space="preserve">               </t>
    </r>
    <r>
      <rPr>
        <sz val="10"/>
        <rFont val="新細明體"/>
        <family val="1"/>
      </rPr>
      <t>　　成衣及鞋類</t>
    </r>
  </si>
  <si>
    <r>
      <t xml:space="preserve">               </t>
    </r>
    <r>
      <rPr>
        <sz val="10"/>
        <rFont val="新細明體"/>
        <family val="1"/>
      </rPr>
      <t>車輛</t>
    </r>
  </si>
  <si>
    <t>　　　　其他</t>
  </si>
  <si>
    <r>
      <t xml:space="preserve">           </t>
    </r>
    <r>
      <rPr>
        <sz val="10"/>
        <rFont val="新細明體"/>
        <family val="1"/>
      </rPr>
      <t>原料及半製成品</t>
    </r>
  </si>
  <si>
    <t>百萬澳門元</t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</si>
  <si>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</si>
  <si>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           </t>
    </r>
    <r>
      <rPr>
        <sz val="10"/>
        <rFont val="新細明體"/>
        <family val="1"/>
      </rPr>
      <t>建築材料</t>
    </r>
  </si>
  <si>
    <r>
      <t xml:space="preserve">                </t>
    </r>
    <r>
      <rPr>
        <sz val="10"/>
        <rFont val="新細明體"/>
        <family val="1"/>
      </rPr>
      <t>其他</t>
    </r>
  </si>
  <si>
    <r>
      <t xml:space="preserve">            </t>
    </r>
    <r>
      <rPr>
        <sz val="10"/>
        <rFont val="新細明體"/>
        <family val="1"/>
      </rPr>
      <t>燃料及潤滑油</t>
    </r>
  </si>
  <si>
    <r>
      <t xml:space="preserve">            </t>
    </r>
    <r>
      <rPr>
        <sz val="10"/>
        <rFont val="新細明體"/>
        <family val="1"/>
      </rPr>
      <t>資本貨物</t>
    </r>
  </si>
  <si>
    <r>
      <t xml:space="preserve">6. </t>
    </r>
    <r>
      <rPr>
        <sz val="12"/>
        <rFont val="新細明體"/>
        <family val="1"/>
      </rPr>
      <t>按市場及產品之本地產品出口及再出口結構</t>
    </r>
  </si>
  <si>
    <r>
      <t xml:space="preserve">第一季至第二季 </t>
    </r>
    <r>
      <rPr>
        <sz val="8"/>
        <rFont val="Times New Roman"/>
        <family val="1"/>
      </rPr>
      <t>(%)</t>
    </r>
  </si>
  <si>
    <t>美國</t>
  </si>
  <si>
    <t>歐洲聯盟</t>
  </si>
  <si>
    <t>中國大陸</t>
  </si>
  <si>
    <t>香港</t>
  </si>
  <si>
    <t>台灣</t>
  </si>
  <si>
    <t>一、本地產品出口</t>
  </si>
  <si>
    <t>　　成衣</t>
  </si>
  <si>
    <t>　　　針織</t>
  </si>
  <si>
    <t>　　　梭織</t>
  </si>
  <si>
    <t>　　其他紡織品</t>
  </si>
  <si>
    <t>　　機器、設備及零件</t>
  </si>
  <si>
    <t>　　鞋類</t>
  </si>
  <si>
    <t>　　其他</t>
  </si>
  <si>
    <t>　　合計</t>
  </si>
  <si>
    <t>二、再出口</t>
  </si>
  <si>
    <t>　　消費品</t>
  </si>
  <si>
    <t>　　　食品、飲品及草</t>
  </si>
  <si>
    <t>　　原料及半製成品</t>
  </si>
  <si>
    <t>　　　紡織材料</t>
  </si>
  <si>
    <t>　　燃料及潤滑油</t>
  </si>
  <si>
    <t>　　資本貨物</t>
  </si>
  <si>
    <r>
      <t xml:space="preserve">7. </t>
    </r>
    <r>
      <rPr>
        <sz val="12"/>
        <rFont val="新細明體"/>
        <family val="1"/>
      </rPr>
      <t>輸往美國之本地紡織品及成衣產品出口統計</t>
    </r>
  </si>
  <si>
    <t xml:space="preserve"> 1/2</t>
  </si>
  <si>
    <t>一、紡織品及成衣出口總值</t>
  </si>
  <si>
    <r>
      <t xml:space="preserve">         (</t>
    </r>
    <r>
      <rPr>
        <b/>
        <sz val="10"/>
        <rFont val="新細明體"/>
        <family val="1"/>
      </rPr>
      <t>百萬澳門元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</si>
  <si>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有限額產品</t>
    </r>
  </si>
  <si>
    <r>
      <t xml:space="preserve">         </t>
    </r>
    <r>
      <rPr>
        <sz val="10"/>
        <rFont val="新細明體"/>
        <family val="1"/>
      </rPr>
      <t>其中：大類</t>
    </r>
    <r>
      <rPr>
        <sz val="10"/>
        <rFont val="Times New Roman"/>
        <family val="1"/>
      </rPr>
      <t xml:space="preserve"> 333/4/5/833/4/5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</si>
  <si>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338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</si>
  <si>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339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</si>
  <si>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340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</si>
  <si>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347/8/847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</si>
  <si>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633/4/5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</si>
  <si>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638/9/838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</si>
  <si>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647/8</t>
    </r>
  </si>
  <si>
    <t xml:space="preserve">                     其他</t>
  </si>
  <si>
    <r>
      <t xml:space="preserve">     </t>
    </r>
    <r>
      <rPr>
        <u val="single"/>
        <sz val="10"/>
        <rFont val="新細明體"/>
        <family val="1"/>
      </rPr>
      <t>2. 無限額產品</t>
    </r>
  </si>
  <si>
    <r>
      <t xml:space="preserve">         </t>
    </r>
    <r>
      <rPr>
        <sz val="10"/>
        <rFont val="新細明體"/>
        <family val="1"/>
      </rPr>
      <t>其中：大類</t>
    </r>
    <r>
      <rPr>
        <sz val="10"/>
        <rFont val="Times New Roman"/>
        <family val="1"/>
      </rPr>
      <t xml:space="preserve"> 239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</si>
  <si>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352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</si>
  <si>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359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</si>
  <si>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636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</si>
  <si>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 333/4/5/833/4/5 – </t>
    </r>
    <r>
      <rPr>
        <i/>
        <sz val="10"/>
        <rFont val="新細明體"/>
        <family val="1"/>
      </rPr>
      <t>棉、混合絲及其他植物纖維製外套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</si>
  <si>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338 – </t>
    </r>
    <r>
      <rPr>
        <i/>
        <sz val="10"/>
        <rFont val="新細明體"/>
        <family val="1"/>
      </rPr>
      <t>棉製男性或男童針織襯衫及Ｔ恤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</si>
  <si>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339 – </t>
    </r>
    <r>
      <rPr>
        <i/>
        <sz val="10"/>
        <rFont val="新細明體"/>
        <family val="1"/>
      </rPr>
      <t>棉製女性或女童針織襯衫、上衣及Ｔ恤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</si>
  <si>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340 – </t>
    </r>
    <r>
      <rPr>
        <i/>
        <sz val="10"/>
        <rFont val="新細明體"/>
        <family val="1"/>
      </rPr>
      <t>棉製男性或男童梳織襯衫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</si>
  <si>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347/8/847 – </t>
    </r>
    <r>
      <rPr>
        <i/>
        <sz val="10"/>
        <rFont val="新細明體"/>
        <family val="1"/>
      </rPr>
      <t>棉、混合絲及其他植物纖維製之褲類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</si>
  <si>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633/4/5 – </t>
    </r>
    <r>
      <rPr>
        <i/>
        <sz val="10"/>
        <rFont val="新細明體"/>
        <family val="1"/>
      </rPr>
      <t>人造纖維外套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</si>
  <si>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638/9/838 – </t>
    </r>
    <r>
      <rPr>
        <i/>
        <sz val="10"/>
        <rFont val="新細明體"/>
        <family val="1"/>
      </rPr>
      <t>人造纖維、混合絲及其他植物纖維，棉除外，製之襯衫及Ｔ恤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</si>
  <si>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647/8 – </t>
    </r>
    <r>
      <rPr>
        <i/>
        <sz val="10"/>
        <rFont val="新細明體"/>
        <family val="1"/>
      </rPr>
      <t>人造纖維褲類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</si>
  <si>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239 – </t>
    </r>
    <r>
      <rPr>
        <i/>
        <sz val="10"/>
        <rFont val="新細明體"/>
        <family val="1"/>
      </rPr>
      <t>棉、人造或合成纖維製之嬰兒服裝及配套服飾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</si>
  <si>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352 – </t>
    </r>
    <r>
      <rPr>
        <i/>
        <sz val="10"/>
        <rFont val="新細明體"/>
        <family val="1"/>
      </rPr>
      <t>棉製內衣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</si>
  <si>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359 – </t>
    </r>
    <r>
      <rPr>
        <i/>
        <sz val="10"/>
        <rFont val="新細明體"/>
        <family val="1"/>
      </rPr>
      <t>其他棉製成衣</t>
    </r>
  </si>
  <si>
    <r>
      <t xml:space="preserve">   </t>
    </r>
    <r>
      <rPr>
        <i/>
        <sz val="10"/>
        <rFont val="新細明體"/>
        <family val="1"/>
      </rPr>
      <t>大類</t>
    </r>
    <r>
      <rPr>
        <i/>
        <sz val="10"/>
        <rFont val="Times New Roman"/>
        <family val="1"/>
      </rPr>
      <t xml:space="preserve"> 636 – </t>
    </r>
    <r>
      <rPr>
        <i/>
        <sz val="10"/>
        <rFont val="新細明體"/>
        <family val="1"/>
      </rPr>
      <t>人造或合成纖維連衣裙</t>
    </r>
  </si>
  <si>
    <t xml:space="preserve">   資料來源：經濟局</t>
  </si>
  <si>
    <t>II. 對外貿易</t>
  </si>
  <si>
    <r>
      <t xml:space="preserve">7. </t>
    </r>
    <r>
      <rPr>
        <sz val="12"/>
        <rFont val="新細明體"/>
        <family val="1"/>
      </rPr>
      <t>輸往美國之本地紡織品及成衣產品出口統計</t>
    </r>
  </si>
  <si>
    <t xml:space="preserve"> 2/2</t>
  </si>
  <si>
    <r>
      <t>二、紡織品及成衣出口數量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千公斤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</si>
  <si>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有限額產品</t>
    </r>
    <r>
      <rPr>
        <sz val="10"/>
        <rFont val="新細明體"/>
        <family val="1"/>
      </rPr>
      <t xml:space="preserve"> (千平方米)</t>
    </r>
  </si>
  <si>
    <r>
      <t xml:space="preserve">         </t>
    </r>
    <r>
      <rPr>
        <sz val="10"/>
        <rFont val="新細明體"/>
        <family val="1"/>
      </rPr>
      <t>其中：大類</t>
    </r>
    <r>
      <rPr>
        <sz val="10"/>
        <rFont val="Times New Roman"/>
        <family val="1"/>
      </rPr>
      <t xml:space="preserve"> 333/4/5/833/4/5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</si>
  <si>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338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</si>
  <si>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339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</si>
  <si>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340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</si>
  <si>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347/8/847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</si>
  <si>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633/4/5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</si>
  <si>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638/9/838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</si>
  <si>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647/8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</si>
  <si>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t xml:space="preserve">                     其他 (千平方米)</t>
  </si>
  <si>
    <r>
      <t xml:space="preserve">     </t>
    </r>
    <r>
      <rPr>
        <u val="single"/>
        <sz val="10"/>
        <rFont val="新細明體"/>
        <family val="1"/>
      </rPr>
      <t>2. 無限額產品</t>
    </r>
  </si>
  <si>
    <r>
      <t xml:space="preserve">         </t>
    </r>
    <r>
      <rPr>
        <sz val="10"/>
        <rFont val="新細明體"/>
        <family val="1"/>
      </rPr>
      <t>其中：大類</t>
    </r>
    <r>
      <rPr>
        <sz val="10"/>
        <rFont val="Times New Roman"/>
        <family val="1"/>
      </rPr>
      <t xml:space="preserve"> 239 (</t>
    </r>
    <r>
      <rPr>
        <sz val="10"/>
        <rFont val="新細明體"/>
        <family val="1"/>
      </rPr>
      <t>千公斤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</si>
  <si>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352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</si>
  <si>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359 (</t>
    </r>
    <r>
      <rPr>
        <sz val="10"/>
        <rFont val="新細明體"/>
        <family val="1"/>
      </rPr>
      <t>千公斤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</si>
  <si>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636 (</t>
    </r>
    <r>
      <rPr>
        <sz val="10"/>
        <rFont val="新細明體"/>
        <family val="1"/>
      </rPr>
      <t>千打</t>
    </r>
    <r>
      <rPr>
        <sz val="10"/>
        <rFont val="Times New Roman"/>
        <family val="1"/>
      </rPr>
      <t>)</t>
    </r>
  </si>
  <si>
    <t>三、紡織品及成衣出口</t>
  </si>
  <si>
    <r>
      <t xml:space="preserve">        配額使用水平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</si>
  <si>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其中：大類</t>
    </r>
    <r>
      <rPr>
        <sz val="10"/>
        <rFont val="Times New Roman"/>
        <family val="1"/>
      </rPr>
      <t xml:space="preserve"> 333/4/5/833/4/5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</si>
  <si>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338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</si>
  <si>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339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</si>
  <si>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340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</si>
  <si>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347/8/847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</si>
  <si>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633/4/5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</si>
  <si>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638/9/838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</si>
  <si>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647/8</t>
    </r>
  </si>
  <si>
    <t xml:space="preserve">                     其他</t>
  </si>
  <si>
    <r>
      <t xml:space="preserve">a </t>
    </r>
    <r>
      <rPr>
        <i/>
        <sz val="10"/>
        <rFont val="新細明體"/>
        <family val="1"/>
      </rPr>
      <t>與限額之上限比較</t>
    </r>
  </si>
  <si>
    <t>資料來源：經濟局</t>
  </si>
  <si>
    <t>II. 對外貿易</t>
  </si>
  <si>
    <r>
      <t xml:space="preserve">8. </t>
    </r>
    <r>
      <rPr>
        <sz val="12"/>
        <rFont val="新細明體"/>
        <family val="1"/>
      </rPr>
      <t>輸往歐盟之本地紡織品及成衣產品出口統計</t>
    </r>
  </si>
  <si>
    <t>第一季至</t>
  </si>
  <si>
    <t>第二季</t>
  </si>
  <si>
    <t>第三季</t>
  </si>
  <si>
    <t>第四季</t>
  </si>
  <si>
    <t>第一季</t>
  </si>
  <si>
    <t>一、紡織品及成衣出口總值</t>
  </si>
  <si>
    <t xml:space="preserve">        (百萬澳門元)</t>
  </si>
  <si>
    <r>
      <t xml:space="preserve">     </t>
    </r>
    <r>
      <rPr>
        <u val="single"/>
        <sz val="10"/>
        <rFont val="新細明體"/>
        <family val="1"/>
      </rPr>
      <t>1. 有限額產品</t>
    </r>
  </si>
  <si>
    <r>
      <t xml:space="preserve">         </t>
    </r>
    <r>
      <rPr>
        <sz val="10"/>
        <rFont val="新細明體"/>
        <family val="1"/>
      </rPr>
      <t>其中：大類</t>
    </r>
    <r>
      <rPr>
        <sz val="10"/>
        <rFont val="Times New Roman"/>
        <family val="1"/>
      </rPr>
      <t xml:space="preserve"> 4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</si>
  <si>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5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</si>
  <si>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</si>
  <si>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7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</si>
  <si>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8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</si>
  <si>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18</t>
    </r>
  </si>
  <si>
    <t xml:space="preserve">                     其他</t>
  </si>
  <si>
    <r>
      <t xml:space="preserve">     </t>
    </r>
    <r>
      <rPr>
        <u val="single"/>
        <sz val="10"/>
        <rFont val="新細明體"/>
        <family val="1"/>
      </rPr>
      <t>2. 無限額產品</t>
    </r>
  </si>
  <si>
    <t>二、紡織品及成衣出口</t>
  </si>
  <si>
    <r>
      <t xml:space="preserve">         (</t>
    </r>
    <r>
      <rPr>
        <b/>
        <sz val="10"/>
        <rFont val="新細明體"/>
        <family val="1"/>
      </rPr>
      <t>千公斤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</si>
  <si>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有限額產品</t>
    </r>
    <r>
      <rPr>
        <sz val="10"/>
        <rFont val="新細明體"/>
        <family val="1"/>
      </rPr>
      <t xml:space="preserve"> (千公斤)</t>
    </r>
  </si>
  <si>
    <r>
      <t xml:space="preserve">         </t>
    </r>
    <r>
      <rPr>
        <sz val="10"/>
        <rFont val="新細明體"/>
        <family val="1"/>
      </rPr>
      <t>其中：大類</t>
    </r>
    <r>
      <rPr>
        <sz val="10"/>
        <rFont val="Times New Roman"/>
        <family val="1"/>
      </rPr>
      <t xml:space="preserve"> 4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</si>
  <si>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5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</si>
  <si>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6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</si>
  <si>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7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</si>
  <si>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8 (</t>
    </r>
    <r>
      <rPr>
        <sz val="10"/>
        <rFont val="新細明體"/>
        <family val="1"/>
      </rPr>
      <t>千件</t>
    </r>
    <r>
      <rPr>
        <sz val="10"/>
        <rFont val="Times New Roman"/>
        <family val="1"/>
      </rPr>
      <t>)</t>
    </r>
  </si>
  <si>
    <r>
      <t xml:space="preserve">                     </t>
    </r>
    <r>
      <rPr>
        <sz val="10"/>
        <rFont val="新細明體"/>
        <family val="1"/>
      </rPr>
      <t>大類</t>
    </r>
    <r>
      <rPr>
        <sz val="10"/>
        <rFont val="Times New Roman"/>
        <family val="1"/>
      </rPr>
      <t xml:space="preserve"> 18 (</t>
    </r>
    <r>
      <rPr>
        <sz val="10"/>
        <rFont val="新細明體"/>
        <family val="1"/>
      </rPr>
      <t>千公斤</t>
    </r>
    <r>
      <rPr>
        <sz val="10"/>
        <rFont val="Times New Roman"/>
        <family val="1"/>
      </rPr>
      <t>)</t>
    </r>
  </si>
  <si>
    <t xml:space="preserve">                     其他 (千公斤)</t>
  </si>
  <si>
    <r>
      <t xml:space="preserve">     </t>
    </r>
    <r>
      <rPr>
        <u val="single"/>
        <sz val="10"/>
        <rFont val="新細明體"/>
        <family val="1"/>
      </rPr>
      <t>2. 無限額產品</t>
    </r>
    <r>
      <rPr>
        <sz val="10"/>
        <rFont val="新細明體"/>
        <family val="1"/>
      </rPr>
      <t xml:space="preserve"> (千公斤)</t>
    </r>
  </si>
  <si>
    <t>三、紡織品及成衣出口</t>
  </si>
  <si>
    <r>
      <t xml:space="preserve">        配額使用水平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(%)</t>
    </r>
  </si>
  <si>
    <r>
      <t xml:space="preserve"> a </t>
    </r>
    <r>
      <rPr>
        <i/>
        <sz val="10"/>
        <rFont val="新細明體"/>
        <family val="1"/>
      </rPr>
      <t>與限額之上限比較</t>
    </r>
  </si>
  <si>
    <r>
      <t>大類</t>
    </r>
    <r>
      <rPr>
        <i/>
        <sz val="10"/>
        <rFont val="Times New Roman"/>
        <family val="1"/>
      </rPr>
      <t xml:space="preserve">  4 – </t>
    </r>
    <r>
      <rPr>
        <i/>
        <sz val="10"/>
        <rFont val="新細明體"/>
        <family val="1"/>
      </rPr>
      <t>針織襯衫及Ｔ恤</t>
    </r>
  </si>
  <si>
    <r>
      <t>大類</t>
    </r>
    <r>
      <rPr>
        <i/>
        <sz val="10"/>
        <rFont val="Times New Roman"/>
        <family val="1"/>
      </rPr>
      <t xml:space="preserve"> 5 – </t>
    </r>
    <r>
      <rPr>
        <i/>
        <sz val="10"/>
        <rFont val="新細明體"/>
        <family val="1"/>
      </rPr>
      <t>針織汗衫及套頭衫</t>
    </r>
  </si>
  <si>
    <r>
      <t>大類</t>
    </r>
    <r>
      <rPr>
        <i/>
        <sz val="10"/>
        <rFont val="Times New Roman"/>
        <family val="1"/>
      </rPr>
      <t xml:space="preserve"> 6 – </t>
    </r>
    <r>
      <rPr>
        <i/>
        <sz val="10"/>
        <rFont val="新細明體"/>
        <family val="1"/>
      </rPr>
      <t>梳織褲類</t>
    </r>
  </si>
  <si>
    <r>
      <t>大類</t>
    </r>
    <r>
      <rPr>
        <i/>
        <sz val="10"/>
        <rFont val="Times New Roman"/>
        <family val="1"/>
      </rPr>
      <t xml:space="preserve"> 7 – </t>
    </r>
    <r>
      <rPr>
        <i/>
        <sz val="10"/>
        <rFont val="新細明體"/>
        <family val="1"/>
      </rPr>
      <t>女性或女童針織或梳織襯衫及上衣</t>
    </r>
  </si>
  <si>
    <r>
      <t>大類</t>
    </r>
    <r>
      <rPr>
        <i/>
        <sz val="10"/>
        <rFont val="Times New Roman"/>
        <family val="1"/>
      </rPr>
      <t xml:space="preserve"> 8 – </t>
    </r>
    <r>
      <rPr>
        <i/>
        <sz val="10"/>
        <rFont val="新細明體"/>
        <family val="1"/>
      </rPr>
      <t>男性梳織襯衫</t>
    </r>
  </si>
  <si>
    <r>
      <t>大類</t>
    </r>
    <r>
      <rPr>
        <i/>
        <sz val="10"/>
        <rFont val="Times New Roman"/>
        <family val="1"/>
      </rPr>
      <t xml:space="preserve"> 18 – </t>
    </r>
    <r>
      <rPr>
        <i/>
        <sz val="10"/>
        <rFont val="新細明體"/>
        <family val="1"/>
      </rPr>
      <t>梳織內衣及睡衣</t>
    </r>
  </si>
  <si>
    <t>資料來源：經濟局</t>
  </si>
  <si>
    <t>II. 對外貿易</t>
  </si>
  <si>
    <r>
      <t xml:space="preserve">9. </t>
    </r>
    <r>
      <rPr>
        <sz val="12"/>
        <rFont val="新細明體"/>
        <family val="1"/>
      </rPr>
      <t>工業之出口訂單情況與出口展望</t>
    </r>
  </si>
  <si>
    <t>第二季</t>
  </si>
  <si>
    <t>第三季</t>
  </si>
  <si>
    <t>第四季</t>
  </si>
  <si>
    <t>第一季</t>
  </si>
  <si>
    <t>一、工業之出口訂單情況</t>
  </si>
  <si>
    <r>
      <t xml:space="preserve">       </t>
    </r>
    <r>
      <rPr>
        <u val="single"/>
        <sz val="10"/>
        <rFont val="新細明體"/>
        <family val="1"/>
      </rPr>
      <t>1. 行業 (平均期以月計)</t>
    </r>
  </si>
  <si>
    <t xml:space="preserve">           成衣製造業</t>
  </si>
  <si>
    <t xml:space="preserve">           玩具業</t>
  </si>
  <si>
    <t xml:space="preserve">           電子業</t>
  </si>
  <si>
    <t xml:space="preserve">           鞋業</t>
  </si>
  <si>
    <r>
      <t xml:space="preserve">       </t>
    </r>
    <r>
      <rPr>
        <u val="single"/>
        <sz val="10"/>
        <rFont val="新細明體"/>
        <family val="1"/>
      </rPr>
      <t>2. 市場 (綜合指數)</t>
    </r>
    <r>
      <rPr>
        <u val="single"/>
        <vertAlign val="superscript"/>
        <sz val="10"/>
        <rFont val="新細明體"/>
        <family val="1"/>
      </rPr>
      <t xml:space="preserve"> a</t>
    </r>
  </si>
  <si>
    <t xml:space="preserve">          美國</t>
  </si>
  <si>
    <t xml:space="preserve">          歐洲聯盟</t>
  </si>
  <si>
    <t xml:space="preserve">          中國大陸</t>
  </si>
  <si>
    <t xml:space="preserve">          香港</t>
  </si>
  <si>
    <t xml:space="preserve">          日本</t>
  </si>
  <si>
    <t xml:space="preserve"> - </t>
  </si>
  <si>
    <r>
      <t>二、未來六月之出口展望</t>
    </r>
    <r>
      <rPr>
        <b/>
        <vertAlign val="superscript"/>
        <sz val="10"/>
        <rFont val="Times New Roman"/>
        <family val="1"/>
      </rPr>
      <t>b</t>
    </r>
    <r>
      <rPr>
        <b/>
        <sz val="10"/>
        <rFont val="Times New Roman"/>
        <family val="1"/>
      </rPr>
      <t xml:space="preserve"> (%)</t>
    </r>
  </si>
  <si>
    <r>
      <t xml:space="preserve">          </t>
    </r>
    <r>
      <rPr>
        <sz val="10"/>
        <rFont val="新細明體"/>
        <family val="1"/>
      </rPr>
      <t>成衣製造業</t>
    </r>
    <r>
      <rPr>
        <sz val="10"/>
        <rFont val="Times New Roman"/>
        <family val="1"/>
      </rPr>
      <t xml:space="preserve"> </t>
    </r>
  </si>
  <si>
    <r>
      <t xml:space="preserve">                   </t>
    </r>
    <r>
      <rPr>
        <sz val="10"/>
        <rFont val="新細明體"/>
        <family val="1"/>
      </rPr>
      <t>大幅上升</t>
    </r>
  </si>
  <si>
    <r>
      <t xml:space="preserve">                   </t>
    </r>
    <r>
      <rPr>
        <sz val="10"/>
        <rFont val="新細明體"/>
        <family val="1"/>
      </rPr>
      <t>輕微上升</t>
    </r>
  </si>
  <si>
    <r>
      <t xml:space="preserve">                   </t>
    </r>
    <r>
      <rPr>
        <sz val="10"/>
        <rFont val="新細明體"/>
        <family val="1"/>
      </rPr>
      <t>停滯</t>
    </r>
  </si>
  <si>
    <r>
      <t xml:space="preserve">                   </t>
    </r>
    <r>
      <rPr>
        <sz val="10"/>
        <rFont val="新細明體"/>
        <family val="1"/>
      </rPr>
      <t>輕微下跌</t>
    </r>
  </si>
  <si>
    <r>
      <t xml:space="preserve">                   </t>
    </r>
    <r>
      <rPr>
        <sz val="10"/>
        <rFont val="新細明體"/>
        <family val="1"/>
      </rPr>
      <t>大幅下跌</t>
    </r>
  </si>
  <si>
    <r>
      <t xml:space="preserve">         </t>
    </r>
    <r>
      <rPr>
        <sz val="10"/>
        <rFont val="新細明體"/>
        <family val="1"/>
      </rPr>
      <t>玩具業</t>
    </r>
  </si>
  <si>
    <r>
      <t xml:space="preserve">         </t>
    </r>
    <r>
      <rPr>
        <sz val="10"/>
        <rFont val="新細明體"/>
        <family val="1"/>
      </rPr>
      <t>電子業</t>
    </r>
  </si>
  <si>
    <r>
      <t xml:space="preserve">         </t>
    </r>
    <r>
      <rPr>
        <sz val="10"/>
        <rFont val="新細明體"/>
        <family val="1"/>
      </rPr>
      <t>鞋業</t>
    </r>
  </si>
  <si>
    <r>
      <t xml:space="preserve">a  </t>
    </r>
    <r>
      <rPr>
        <i/>
        <sz val="10"/>
        <rFont val="新細明體"/>
        <family val="1"/>
      </rPr>
      <t>被調查之公司提供之出口行業發展有利與不利之平均百分率之差</t>
    </r>
  </si>
  <si>
    <r>
      <t xml:space="preserve">b  </t>
    </r>
    <r>
      <rPr>
        <i/>
        <sz val="10"/>
        <rFont val="新細明體"/>
        <family val="1"/>
      </rPr>
      <t>按行業出口分類</t>
    </r>
  </si>
  <si>
    <t>資料來源：經濟局</t>
  </si>
  <si>
    <t>III. 旅遊</t>
  </si>
  <si>
    <r>
      <t xml:space="preserve">1. </t>
    </r>
    <r>
      <rPr>
        <sz val="12"/>
        <rFont val="新細明體"/>
        <family val="1"/>
      </rPr>
      <t>入境旅客及酒店住客統計</t>
    </r>
  </si>
  <si>
    <r>
      <t>結構</t>
    </r>
    <r>
      <rPr>
        <sz val="10"/>
        <rFont val="Times New Roman"/>
        <family val="1"/>
      </rPr>
      <t xml:space="preserve"> (%)</t>
    </r>
  </si>
  <si>
    <t>一、旅客入境數字</t>
  </si>
  <si>
    <t>千人次</t>
  </si>
  <si>
    <t>同期變動率</t>
  </si>
  <si>
    <r>
      <t xml:space="preserve">     </t>
    </r>
    <r>
      <rPr>
        <u val="single"/>
        <sz val="10"/>
        <rFont val="新細明體"/>
        <family val="1"/>
      </rPr>
      <t>1. 入境渠道</t>
    </r>
  </si>
  <si>
    <t xml:space="preserve">         海路</t>
  </si>
  <si>
    <t xml:space="preserve">         陸路</t>
  </si>
  <si>
    <t xml:space="preserve">         空路</t>
  </si>
  <si>
    <r>
      <t xml:space="preserve">      </t>
    </r>
    <r>
      <rPr>
        <u val="single"/>
        <sz val="10"/>
        <rFont val="新細明體"/>
        <family val="1"/>
      </rPr>
      <t>2. 原居地</t>
    </r>
  </si>
  <si>
    <t xml:space="preserve">          台灣</t>
  </si>
  <si>
    <r>
      <t xml:space="preserve">          </t>
    </r>
    <r>
      <rPr>
        <sz val="10"/>
        <rFont val="新細明體"/>
        <family val="1"/>
      </rPr>
      <t>日本</t>
    </r>
  </si>
  <si>
    <t xml:space="preserve">          歐洲</t>
  </si>
  <si>
    <t xml:space="preserve">          美洲</t>
  </si>
  <si>
    <t>二、酒店留宿住客數目</t>
  </si>
  <si>
    <t xml:space="preserve">.. </t>
  </si>
  <si>
    <r>
      <t xml:space="preserve">三、酒店入住率 </t>
    </r>
    <r>
      <rPr>
        <sz val="10"/>
        <rFont val="新細明體"/>
        <family val="1"/>
      </rPr>
      <t>(%)</t>
    </r>
  </si>
  <si>
    <t>四、酒店住客平均逗留晚數</t>
  </si>
  <si>
    <r>
      <t xml:space="preserve">2. </t>
    </r>
    <r>
      <rPr>
        <sz val="12"/>
        <rFont val="新細明體"/>
        <family val="1"/>
      </rPr>
      <t>旅客人均消費</t>
    </r>
  </si>
  <si>
    <r>
      <t xml:space="preserve">  一、旅客人均消費</t>
    </r>
  </si>
  <si>
    <t>澳門元</t>
  </si>
  <si>
    <t xml:space="preserve">. . </t>
  </si>
  <si>
    <t>　　中國大陸旅客</t>
  </si>
  <si>
    <t>　　　　　經海路入境</t>
  </si>
  <si>
    <t>　　　　　經陸路入境</t>
  </si>
  <si>
    <t>　　　　　經空路入境</t>
  </si>
  <si>
    <t>　　香港旅客</t>
  </si>
  <si>
    <t>　　台灣旅客</t>
  </si>
  <si>
    <r>
      <t>　　日本旅客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</si>
  <si>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>　　歐洲旅客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</si>
  <si>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>　　美洲旅客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</si>
  <si>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t>二、旅客平均逗留日數</t>
  </si>
  <si>
    <r>
      <t xml:space="preserve">a </t>
    </r>
    <r>
      <rPr>
        <i/>
        <sz val="9"/>
        <rFont val="新細明體"/>
        <family val="1"/>
      </rPr>
      <t>經海路入境</t>
    </r>
  </si>
  <si>
    <t>IV. 消費與物價</t>
  </si>
  <si>
    <r>
      <t xml:space="preserve">1. </t>
    </r>
    <r>
      <rPr>
        <sz val="12"/>
        <rFont val="新細明體"/>
        <family val="1"/>
      </rPr>
      <t>消費物價指數</t>
    </r>
  </si>
  <si>
    <r>
      <t>一九九九年十月至二零零零年九月</t>
    </r>
    <r>
      <rPr>
        <sz val="8"/>
        <rFont val="Times New Roman"/>
        <family val="1"/>
      </rPr>
      <t xml:space="preserve"> = 100</t>
    </r>
  </si>
  <si>
    <t>權數</t>
  </si>
  <si>
    <r>
      <t xml:space="preserve">  </t>
    </r>
    <r>
      <rPr>
        <b/>
        <sz val="10"/>
        <rFont val="新細明體"/>
        <family val="1"/>
      </rPr>
      <t>一、綜合消費物價指數</t>
    </r>
  </si>
  <si>
    <t>指數</t>
  </si>
  <si>
    <t>..</t>
  </si>
  <si>
    <t>　　糧食及飲品類</t>
  </si>
  <si>
    <t>　　衣履類</t>
  </si>
  <si>
    <t>　　租金及住屋開支類</t>
  </si>
  <si>
    <t>　　酒類</t>
  </si>
  <si>
    <t>　　家居用品類</t>
  </si>
  <si>
    <t>　　醫療類</t>
  </si>
  <si>
    <t>　　交通及通訊類</t>
  </si>
  <si>
    <t>　　教育及消閒類</t>
  </si>
  <si>
    <t>　　其他商品及服務類</t>
  </si>
  <si>
    <r>
      <t>二、甲類消費物價指數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</si>
  <si>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>三、乙類消費物價指數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</si>
  <si>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r>
      <t xml:space="preserve">a  </t>
    </r>
    <r>
      <rPr>
        <i/>
        <sz val="9"/>
        <rFont val="新細明體"/>
        <family val="1"/>
      </rPr>
      <t>反映本地區</t>
    </r>
    <r>
      <rPr>
        <i/>
        <sz val="9"/>
        <rFont val="Times New Roman"/>
        <family val="1"/>
      </rPr>
      <t>54%</t>
    </r>
    <r>
      <rPr>
        <i/>
        <sz val="9"/>
        <rFont val="新細明體"/>
        <family val="1"/>
      </rPr>
      <t>住戶的物價變動，其每月平均消費介乎</t>
    </r>
    <r>
      <rPr>
        <i/>
        <sz val="9"/>
        <rFont val="Times New Roman"/>
        <family val="1"/>
      </rPr>
      <t xml:space="preserve">3,000 </t>
    </r>
    <r>
      <rPr>
        <i/>
        <sz val="9"/>
        <rFont val="新細明體"/>
        <family val="1"/>
      </rPr>
      <t>至</t>
    </r>
    <r>
      <rPr>
        <i/>
        <sz val="9"/>
        <rFont val="Times New Roman"/>
        <family val="1"/>
      </rPr>
      <t>9,999</t>
    </r>
    <r>
      <rPr>
        <i/>
        <sz val="9"/>
        <rFont val="新細明體"/>
        <family val="1"/>
      </rPr>
      <t>澳門元之間</t>
    </r>
  </si>
  <si>
    <r>
      <t xml:space="preserve">b </t>
    </r>
    <r>
      <rPr>
        <i/>
        <sz val="9"/>
        <rFont val="新細明體"/>
        <family val="1"/>
      </rPr>
      <t>反映本地區</t>
    </r>
    <r>
      <rPr>
        <i/>
        <sz val="9"/>
        <rFont val="Times New Roman"/>
        <family val="1"/>
      </rPr>
      <t>26%</t>
    </r>
    <r>
      <rPr>
        <i/>
        <sz val="9"/>
        <rFont val="新細明體"/>
        <family val="1"/>
      </rPr>
      <t>住戶的物價變動，其每月平均消費介乎</t>
    </r>
    <r>
      <rPr>
        <i/>
        <sz val="9"/>
        <rFont val="Times New Roman"/>
        <family val="1"/>
      </rPr>
      <t xml:space="preserve">10,000 </t>
    </r>
    <r>
      <rPr>
        <i/>
        <sz val="9"/>
        <rFont val="新細明體"/>
        <family val="1"/>
      </rPr>
      <t>至</t>
    </r>
    <r>
      <rPr>
        <i/>
        <sz val="9"/>
        <rFont val="Times New Roman"/>
        <family val="1"/>
      </rPr>
      <t>19,999</t>
    </r>
    <r>
      <rPr>
        <i/>
        <sz val="9"/>
        <rFont val="新細明體"/>
        <family val="1"/>
      </rPr>
      <t>澳門元之間</t>
    </r>
  </si>
  <si>
    <r>
      <t xml:space="preserve">2. </t>
    </r>
    <r>
      <rPr>
        <sz val="12"/>
        <rFont val="新細明體"/>
        <family val="1"/>
      </rPr>
      <t>零售業銷售額</t>
    </r>
  </si>
  <si>
    <r>
      <t xml:space="preserve">      </t>
    </r>
    <r>
      <rPr>
        <b/>
        <sz val="10"/>
        <rFont val="新細明體"/>
        <family val="1"/>
      </rPr>
      <t>零售業銷售總額</t>
    </r>
    <r>
      <rPr>
        <b/>
        <sz val="10"/>
        <rFont val="Times New Roman"/>
        <family val="1"/>
      </rPr>
      <t xml:space="preserve">  </t>
    </r>
  </si>
  <si>
    <r>
      <t>1 183</t>
    </r>
    <r>
      <rPr>
        <vertAlign val="superscript"/>
        <sz val="10"/>
        <rFont val="Times New Roman"/>
        <family val="1"/>
      </rPr>
      <t>r</t>
    </r>
  </si>
  <si>
    <t>同期變動率</t>
  </si>
  <si>
    <t>..</t>
  </si>
  <si>
    <r>
      <t>-9.8</t>
    </r>
    <r>
      <rPr>
        <vertAlign val="superscript"/>
        <sz val="10"/>
        <rFont val="Times New Roman"/>
        <family val="1"/>
      </rPr>
      <t>r</t>
    </r>
  </si>
  <si>
    <t>　　　     車輛</t>
  </si>
  <si>
    <r>
      <t xml:space="preserve">            </t>
    </r>
    <r>
      <rPr>
        <sz val="10"/>
        <rFont val="新細明體"/>
        <family val="1"/>
      </rPr>
      <t>車輛用燃料</t>
    </r>
  </si>
  <si>
    <t>　　　     超級市場</t>
  </si>
  <si>
    <t>百萬澳門元</t>
  </si>
  <si>
    <t>同期變動率</t>
  </si>
  <si>
    <t>..</t>
  </si>
  <si>
    <t>　     　　百貨</t>
  </si>
  <si>
    <t>　　　水果</t>
  </si>
  <si>
    <t>　　　家禽、凍肉及燒臘</t>
  </si>
  <si>
    <t>　　　海味</t>
  </si>
  <si>
    <r>
      <t xml:space="preserve">            </t>
    </r>
    <r>
      <rPr>
        <sz val="10"/>
        <rFont val="新細明體"/>
        <family val="1"/>
      </rPr>
      <t>藥房</t>
    </r>
  </si>
  <si>
    <t>　　　家居用紡織品</t>
  </si>
  <si>
    <t>　　     　成人服裝</t>
  </si>
  <si>
    <t>　　　鞋類</t>
  </si>
  <si>
    <t>　　     　鐘錶、金飾</t>
  </si>
  <si>
    <t>　     　　車輛用燃料</t>
  </si>
  <si>
    <t>同期變動率</t>
  </si>
  <si>
    <t>..</t>
  </si>
  <si>
    <t>V. 人口、勞工與就業</t>
  </si>
  <si>
    <r>
      <t xml:space="preserve">1. </t>
    </r>
    <r>
      <rPr>
        <sz val="12"/>
        <rFont val="新細明體"/>
        <family val="1"/>
      </rPr>
      <t>人口與就業主要指標</t>
    </r>
  </si>
  <si>
    <t>　勞動力參與率 (%)</t>
  </si>
  <si>
    <t>　失業率 (%)</t>
  </si>
  <si>
    <t>　就業不足率 (%)</t>
  </si>
  <si>
    <r>
      <t>　期末居住人口估計</t>
    </r>
    <r>
      <rPr>
        <sz val="10"/>
        <rFont val="Times New Roman"/>
        <family val="1"/>
      </rPr>
      <t xml:space="preserve"> </t>
    </r>
  </si>
  <si>
    <t>千</t>
  </si>
  <si>
    <t>　勞動人口</t>
  </si>
  <si>
    <t>　就業人口</t>
  </si>
  <si>
    <t>　失業人口</t>
  </si>
  <si>
    <t>　期末外地勞工人數</t>
  </si>
  <si>
    <r>
      <t xml:space="preserve">2. </t>
    </r>
    <r>
      <rPr>
        <sz val="12"/>
        <rFont val="新細明體"/>
        <family val="1"/>
      </rPr>
      <t>就業人口每月工作收入中位數</t>
    </r>
  </si>
  <si>
    <r>
      <t xml:space="preserve">  每月工作收入中位數</t>
    </r>
  </si>
  <si>
    <t xml:space="preserve">         製造業</t>
  </si>
  <si>
    <t xml:space="preserve">         建築</t>
  </si>
  <si>
    <t xml:space="preserve">         批發及零售</t>
  </si>
  <si>
    <t xml:space="preserve">         住宿、餐廳、酒樓及同類場所</t>
  </si>
  <si>
    <r>
      <t xml:space="preserve">         </t>
    </r>
    <r>
      <rPr>
        <sz val="10"/>
        <rFont val="新細明體"/>
        <family val="1"/>
      </rPr>
      <t>運輸、貯藏及通訊</t>
    </r>
  </si>
  <si>
    <t xml:space="preserve">         金融業務</t>
  </si>
  <si>
    <r>
      <t xml:space="preserve">         </t>
    </r>
    <r>
      <rPr>
        <sz val="10"/>
        <rFont val="新細明體"/>
        <family val="1"/>
      </rPr>
      <t>不動產業務、租賃及向企業提供的服務</t>
    </r>
  </si>
  <si>
    <t xml:space="preserve">         公共行政、防衛及強制性社會保障</t>
  </si>
  <si>
    <t xml:space="preserve">         團體、社會及個人的其他服務</t>
  </si>
  <si>
    <r>
      <t xml:space="preserve">3. </t>
    </r>
    <r>
      <rPr>
        <sz val="12"/>
        <rFont val="新細明體"/>
        <family val="1"/>
      </rPr>
      <t>就業人口之行業分佈</t>
    </r>
  </si>
  <si>
    <t>　就業人口數目</t>
  </si>
  <si>
    <t>千人</t>
  </si>
  <si>
    <r>
      <t>　</t>
    </r>
    <r>
      <rPr>
        <u val="single"/>
        <sz val="10"/>
        <rFont val="新細明體"/>
        <family val="1"/>
      </rPr>
      <t>1. 行業分佈</t>
    </r>
  </si>
  <si>
    <t xml:space="preserve">.. </t>
  </si>
  <si>
    <r>
      <t xml:space="preserve">4. </t>
    </r>
    <r>
      <rPr>
        <sz val="12"/>
        <rFont val="新細明體"/>
        <family val="1"/>
      </rPr>
      <t>職位空缺數目</t>
    </r>
  </si>
  <si>
    <t>第二季</t>
  </si>
  <si>
    <t>第三季</t>
  </si>
  <si>
    <t>第四季</t>
  </si>
  <si>
    <t>第一季</t>
  </si>
  <si>
    <t>　 職位空缺數目</t>
  </si>
  <si>
    <t xml:space="preserve">              製造業</t>
  </si>
  <si>
    <t>..</t>
  </si>
  <si>
    <r>
      <t xml:space="preserve">              </t>
    </r>
    <r>
      <rPr>
        <sz val="10"/>
        <rFont val="新細明體"/>
        <family val="1"/>
      </rPr>
      <t>電力、氣體及水的生產及分配</t>
    </r>
  </si>
  <si>
    <t xml:space="preserve">              批發及零售</t>
  </si>
  <si>
    <t xml:space="preserve">.. </t>
  </si>
  <si>
    <t>…</t>
  </si>
  <si>
    <t xml:space="preserve">              住宿、餐廳、酒樓及同類場所</t>
  </si>
  <si>
    <t xml:space="preserve">              運輸、貯藏及通訊</t>
  </si>
  <si>
    <r>
      <t xml:space="preserve">              </t>
    </r>
    <r>
      <rPr>
        <sz val="10"/>
        <rFont val="新細明體"/>
        <family val="1"/>
      </rPr>
      <t>金融業務</t>
    </r>
  </si>
  <si>
    <r>
      <t xml:space="preserve">5. </t>
    </r>
    <r>
      <rPr>
        <sz val="12"/>
        <rFont val="新細明體"/>
        <family val="1"/>
      </rPr>
      <t>失業人口之行業分佈及失業原因</t>
    </r>
  </si>
  <si>
    <t>第二季</t>
  </si>
  <si>
    <t>第三季</t>
  </si>
  <si>
    <t>第四季</t>
  </si>
  <si>
    <t>第一季</t>
  </si>
  <si>
    <r>
      <t xml:space="preserve">  失業人口數目</t>
    </r>
  </si>
  <si>
    <t>千人</t>
  </si>
  <si>
    <t>同期變動率</t>
  </si>
  <si>
    <r>
      <t xml:space="preserve">     </t>
    </r>
    <r>
      <rPr>
        <u val="single"/>
        <sz val="10"/>
        <rFont val="新細明體"/>
        <family val="1"/>
      </rPr>
      <t>1. 尋找第一份工作的失業人數</t>
    </r>
  </si>
  <si>
    <r>
      <t>1.1</t>
    </r>
    <r>
      <rPr>
        <vertAlign val="superscript"/>
        <sz val="10"/>
        <rFont val="Times New Roman"/>
        <family val="1"/>
      </rPr>
      <t>r</t>
    </r>
  </si>
  <si>
    <r>
      <t>0.8</t>
    </r>
    <r>
      <rPr>
        <vertAlign val="superscript"/>
        <sz val="10"/>
        <rFont val="Times New Roman"/>
        <family val="1"/>
      </rPr>
      <t>r</t>
    </r>
  </si>
  <si>
    <r>
      <t>-21.9</t>
    </r>
    <r>
      <rPr>
        <vertAlign val="superscript"/>
        <sz val="10"/>
        <rFont val="Times New Roman"/>
        <family val="1"/>
      </rPr>
      <t>r</t>
    </r>
  </si>
  <si>
    <r>
      <t>-27.0</t>
    </r>
    <r>
      <rPr>
        <vertAlign val="superscript"/>
        <sz val="10"/>
        <rFont val="Times New Roman"/>
        <family val="1"/>
      </rPr>
      <t>r</t>
    </r>
  </si>
  <si>
    <r>
      <t xml:space="preserve">      i) </t>
    </r>
    <r>
      <rPr>
        <sz val="10"/>
        <rFont val="新細明體"/>
        <family val="1"/>
      </rPr>
      <t>最高受教育程度</t>
    </r>
    <r>
      <rPr>
        <sz val="10"/>
        <rFont val="Times New Roman"/>
        <family val="1"/>
      </rPr>
      <t>(%)</t>
    </r>
  </si>
  <si>
    <t xml:space="preserve">         從未入學/學前教育</t>
  </si>
  <si>
    <r>
      <t>1.2</t>
    </r>
    <r>
      <rPr>
        <vertAlign val="superscript"/>
        <sz val="10"/>
        <rFont val="Times New Roman"/>
        <family val="1"/>
      </rPr>
      <t>r</t>
    </r>
  </si>
  <si>
    <t xml:space="preserve">- </t>
  </si>
  <si>
    <t xml:space="preserve">         小學程度</t>
  </si>
  <si>
    <r>
      <t>23.4</t>
    </r>
    <r>
      <rPr>
        <vertAlign val="superscript"/>
        <sz val="10"/>
        <rFont val="Times New Roman"/>
        <family val="1"/>
      </rPr>
      <t>r</t>
    </r>
  </si>
  <si>
    <r>
      <t>33.1</t>
    </r>
    <r>
      <rPr>
        <vertAlign val="superscript"/>
        <sz val="10"/>
        <rFont val="Times New Roman"/>
        <family val="1"/>
      </rPr>
      <t>r</t>
    </r>
  </si>
  <si>
    <r>
      <t xml:space="preserve">         </t>
    </r>
    <r>
      <rPr>
        <sz val="10"/>
        <rFont val="新細明體"/>
        <family val="1"/>
      </rPr>
      <t>初中程度</t>
    </r>
  </si>
  <si>
    <r>
      <t>27.5</t>
    </r>
    <r>
      <rPr>
        <vertAlign val="superscript"/>
        <sz val="10"/>
        <rFont val="Times New Roman"/>
        <family val="1"/>
      </rPr>
      <t>r</t>
    </r>
  </si>
  <si>
    <r>
      <t>21.8</t>
    </r>
    <r>
      <rPr>
        <vertAlign val="superscript"/>
        <sz val="10"/>
        <rFont val="Times New Roman"/>
        <family val="1"/>
      </rPr>
      <t>r</t>
    </r>
  </si>
  <si>
    <r>
      <t xml:space="preserve">         </t>
    </r>
    <r>
      <rPr>
        <sz val="10"/>
        <rFont val="新細明體"/>
        <family val="1"/>
      </rPr>
      <t>高中程度</t>
    </r>
  </si>
  <si>
    <r>
      <t>19.9</t>
    </r>
    <r>
      <rPr>
        <vertAlign val="superscript"/>
        <sz val="10"/>
        <rFont val="Times New Roman"/>
        <family val="1"/>
      </rPr>
      <t>r</t>
    </r>
  </si>
  <si>
    <r>
      <t>13.9</t>
    </r>
    <r>
      <rPr>
        <vertAlign val="superscript"/>
        <sz val="10"/>
        <rFont val="Times New Roman"/>
        <family val="1"/>
      </rPr>
      <t>r</t>
    </r>
  </si>
  <si>
    <t xml:space="preserve">         專科/大學程度</t>
  </si>
  <si>
    <r>
      <t>28.0</t>
    </r>
    <r>
      <rPr>
        <vertAlign val="superscript"/>
        <sz val="10"/>
        <rFont val="Times New Roman"/>
        <family val="1"/>
      </rPr>
      <t>r</t>
    </r>
  </si>
  <si>
    <r>
      <t>31.2</t>
    </r>
    <r>
      <rPr>
        <vertAlign val="superscript"/>
        <sz val="10"/>
        <rFont val="Times New Roman"/>
        <family val="1"/>
      </rPr>
      <t>r</t>
    </r>
  </si>
  <si>
    <r>
      <t xml:space="preserve">     </t>
    </r>
    <r>
      <rPr>
        <u val="single"/>
        <sz val="10"/>
        <rFont val="新細明體"/>
        <family val="1"/>
      </rPr>
      <t>2. 尋找新工作的失業人數</t>
    </r>
  </si>
  <si>
    <r>
      <t>13.4</t>
    </r>
    <r>
      <rPr>
        <vertAlign val="superscript"/>
        <sz val="10"/>
        <rFont val="Times New Roman"/>
        <family val="1"/>
      </rPr>
      <t>r</t>
    </r>
  </si>
  <si>
    <r>
      <t>14.4</t>
    </r>
    <r>
      <rPr>
        <vertAlign val="superscript"/>
        <sz val="10"/>
        <rFont val="Times New Roman"/>
        <family val="1"/>
      </rPr>
      <t>r</t>
    </r>
  </si>
  <si>
    <r>
      <t>8.6</t>
    </r>
    <r>
      <rPr>
        <vertAlign val="superscript"/>
        <sz val="10"/>
        <rFont val="Times New Roman"/>
        <family val="1"/>
      </rPr>
      <t>r</t>
    </r>
  </si>
  <si>
    <r>
      <t>16.8</t>
    </r>
    <r>
      <rPr>
        <vertAlign val="superscript"/>
        <sz val="10"/>
        <rFont val="Times New Roman"/>
        <family val="1"/>
      </rPr>
      <t>r</t>
    </r>
  </si>
  <si>
    <r>
      <t xml:space="preserve">     i) </t>
    </r>
    <r>
      <rPr>
        <sz val="10"/>
        <rFont val="新細明體"/>
        <family val="1"/>
      </rPr>
      <t>過往之行業</t>
    </r>
    <r>
      <rPr>
        <sz val="10"/>
        <rFont val="Times New Roman"/>
        <family val="1"/>
      </rPr>
      <t>(%)</t>
    </r>
  </si>
  <si>
    <t>　　製造業</t>
  </si>
  <si>
    <r>
      <t>12.7</t>
    </r>
    <r>
      <rPr>
        <vertAlign val="superscript"/>
        <sz val="10"/>
        <rFont val="Times New Roman"/>
        <family val="1"/>
      </rPr>
      <t>r</t>
    </r>
  </si>
  <si>
    <t>　　建築</t>
  </si>
  <si>
    <r>
      <t>32.0</t>
    </r>
    <r>
      <rPr>
        <vertAlign val="superscript"/>
        <sz val="10"/>
        <rFont val="Times New Roman"/>
        <family val="1"/>
      </rPr>
      <t>r</t>
    </r>
  </si>
  <si>
    <r>
      <t>36.3</t>
    </r>
    <r>
      <rPr>
        <vertAlign val="superscript"/>
        <sz val="10"/>
        <rFont val="Times New Roman"/>
        <family val="1"/>
      </rPr>
      <t>r</t>
    </r>
  </si>
  <si>
    <t>　　批發及零售</t>
  </si>
  <si>
    <r>
      <t>14.0</t>
    </r>
    <r>
      <rPr>
        <vertAlign val="superscript"/>
        <sz val="10"/>
        <rFont val="Times New Roman"/>
        <family val="1"/>
      </rPr>
      <t>r</t>
    </r>
  </si>
  <si>
    <r>
      <t>14.3</t>
    </r>
    <r>
      <rPr>
        <vertAlign val="superscript"/>
        <sz val="10"/>
        <rFont val="Times New Roman"/>
        <family val="1"/>
      </rPr>
      <t>r</t>
    </r>
  </si>
  <si>
    <t>　　住宿、餐廳、酒樓及同類場所</t>
  </si>
  <si>
    <r>
      <t>14.6</t>
    </r>
    <r>
      <rPr>
        <vertAlign val="superscript"/>
        <sz val="10"/>
        <rFont val="Times New Roman"/>
        <family val="1"/>
      </rPr>
      <t>r</t>
    </r>
  </si>
  <si>
    <t>　　團體、社會及個人的其他服務</t>
  </si>
  <si>
    <r>
      <t>7.5</t>
    </r>
    <r>
      <rPr>
        <vertAlign val="superscript"/>
        <sz val="10"/>
        <rFont val="Times New Roman"/>
        <family val="1"/>
      </rPr>
      <t>r</t>
    </r>
  </si>
  <si>
    <r>
      <t>6.1</t>
    </r>
    <r>
      <rPr>
        <vertAlign val="superscript"/>
        <sz val="10"/>
        <rFont val="Times New Roman"/>
        <family val="1"/>
      </rPr>
      <t>r</t>
    </r>
  </si>
  <si>
    <r>
      <t xml:space="preserve">      ii) </t>
    </r>
    <r>
      <rPr>
        <sz val="10"/>
        <rFont val="新細明體"/>
        <family val="1"/>
      </rPr>
      <t>失業之原因</t>
    </r>
    <r>
      <rPr>
        <sz val="10"/>
        <rFont val="Times New Roman"/>
        <family val="1"/>
      </rPr>
      <t xml:space="preserve"> (%)</t>
    </r>
  </si>
  <si>
    <r>
      <t xml:space="preserve">          </t>
    </r>
    <r>
      <rPr>
        <sz val="10"/>
        <rFont val="新細明體"/>
        <family val="1"/>
      </rPr>
      <t>私人或家庭理由</t>
    </r>
  </si>
  <si>
    <r>
      <t>9.7</t>
    </r>
    <r>
      <rPr>
        <vertAlign val="superscript"/>
        <sz val="10"/>
        <rFont val="Times New Roman"/>
        <family val="1"/>
      </rPr>
      <t>r</t>
    </r>
  </si>
  <si>
    <r>
      <t xml:space="preserve">          </t>
    </r>
    <r>
      <rPr>
        <sz val="10"/>
        <rFont val="新細明體"/>
        <family val="1"/>
      </rPr>
      <t>不滿意工作條件</t>
    </r>
  </si>
  <si>
    <r>
      <t>8.1</t>
    </r>
    <r>
      <rPr>
        <vertAlign val="superscript"/>
        <sz val="10"/>
        <rFont val="Times New Roman"/>
        <family val="1"/>
      </rPr>
      <t>r</t>
    </r>
  </si>
  <si>
    <r>
      <t xml:space="preserve">          </t>
    </r>
    <r>
      <rPr>
        <sz val="10"/>
        <rFont val="新細明體"/>
        <family val="1"/>
      </rPr>
      <t>暫時工作完結</t>
    </r>
  </si>
  <si>
    <r>
      <t>30.5</t>
    </r>
    <r>
      <rPr>
        <vertAlign val="superscript"/>
        <sz val="10"/>
        <rFont val="Times New Roman"/>
        <family val="1"/>
      </rPr>
      <t>r</t>
    </r>
  </si>
  <si>
    <r>
      <t>38.5</t>
    </r>
    <r>
      <rPr>
        <vertAlign val="superscript"/>
        <sz val="10"/>
        <rFont val="Times New Roman"/>
        <family val="1"/>
      </rPr>
      <t>r</t>
    </r>
  </si>
  <si>
    <r>
      <t xml:space="preserve">          </t>
    </r>
    <r>
      <rPr>
        <sz val="10"/>
        <rFont val="新細明體"/>
        <family val="1"/>
      </rPr>
      <t>公司結業</t>
    </r>
  </si>
  <si>
    <r>
      <t>16.1</t>
    </r>
    <r>
      <rPr>
        <vertAlign val="superscript"/>
        <sz val="10"/>
        <rFont val="Times New Roman"/>
        <family val="1"/>
      </rPr>
      <t>r</t>
    </r>
  </si>
  <si>
    <r>
      <t xml:space="preserve">          </t>
    </r>
    <r>
      <rPr>
        <sz val="10"/>
        <rFont val="新細明體"/>
        <family val="1"/>
      </rPr>
      <t>被解僱</t>
    </r>
  </si>
  <si>
    <r>
      <t>26.2</t>
    </r>
    <r>
      <rPr>
        <vertAlign val="superscript"/>
        <sz val="10"/>
        <rFont val="Times New Roman"/>
        <family val="1"/>
      </rPr>
      <t>r</t>
    </r>
  </si>
  <si>
    <r>
      <t xml:space="preserve">6. </t>
    </r>
    <r>
      <rPr>
        <sz val="12"/>
        <rFont val="新細明體"/>
        <family val="1"/>
      </rPr>
      <t>就業不足人口之行業分佈及就業不足原因</t>
    </r>
  </si>
  <si>
    <t>第二季</t>
  </si>
  <si>
    <t>第三季</t>
  </si>
  <si>
    <t>第四季</t>
  </si>
  <si>
    <t>第一季</t>
  </si>
  <si>
    <r>
      <t>　就業不足人口數目</t>
    </r>
  </si>
  <si>
    <t>千人</t>
  </si>
  <si>
    <r>
      <t>　</t>
    </r>
    <r>
      <rPr>
        <u val="single"/>
        <sz val="10"/>
        <rFont val="新細明體"/>
        <family val="1"/>
      </rPr>
      <t>1. 行業分佈</t>
    </r>
    <r>
      <rPr>
        <sz val="10"/>
        <rFont val="新細明體"/>
        <family val="1"/>
      </rPr>
      <t xml:space="preserve"> (%)</t>
    </r>
  </si>
  <si>
    <t xml:space="preserve">         製造業</t>
  </si>
  <si>
    <t xml:space="preserve">         建築</t>
  </si>
  <si>
    <t xml:space="preserve">         批發及零售</t>
  </si>
  <si>
    <t xml:space="preserve">         住宿、餐廳、酒樓及同類場所</t>
  </si>
  <si>
    <r>
      <t>　</t>
    </r>
    <r>
      <rPr>
        <u val="single"/>
        <sz val="10"/>
        <rFont val="新細明體"/>
        <family val="1"/>
      </rPr>
      <t>2. 就業不足原因 (%)</t>
    </r>
  </si>
  <si>
    <t>　　未能找到其他工作</t>
  </si>
  <si>
    <t>　　訂單、顧客不足或淡季</t>
  </si>
  <si>
    <r>
      <t>　　一生產階段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一份工作之開始或完結</t>
    </r>
  </si>
  <si>
    <r>
      <t xml:space="preserve">7. </t>
    </r>
    <r>
      <rPr>
        <sz val="12"/>
        <rFont val="新細明體"/>
        <family val="1"/>
      </rPr>
      <t>外地勞工人數統計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</si>
  <si>
    <t>一、輸入外地勞工人數</t>
  </si>
  <si>
    <t>數目</t>
  </si>
  <si>
    <t>同期變動率</t>
  </si>
  <si>
    <t>二、期末外地勞工人數</t>
  </si>
  <si>
    <r>
      <t xml:space="preserve">       </t>
    </r>
    <r>
      <rPr>
        <u val="single"/>
        <sz val="10"/>
        <rFont val="新細明體"/>
        <family val="1"/>
      </rPr>
      <t>行業分佈</t>
    </r>
  </si>
  <si>
    <t>　　　製造業</t>
  </si>
  <si>
    <t>　　　建築</t>
  </si>
  <si>
    <t>　　　批發及零售</t>
  </si>
  <si>
    <t>　　　住宿、餐廳、酒樓及同類場所</t>
  </si>
  <si>
    <t>　　　團體、社會及個人的其他服務</t>
  </si>
  <si>
    <t>　　　　桑拿及按摩、其他娛樂及表演活動</t>
  </si>
  <si>
    <t>　　　　博彩活動</t>
  </si>
  <si>
    <r>
      <t xml:space="preserve">a </t>
    </r>
    <r>
      <rPr>
        <i/>
        <sz val="9"/>
        <rFont val="新細明體"/>
        <family val="1"/>
      </rPr>
      <t>根據第</t>
    </r>
    <r>
      <rPr>
        <i/>
        <sz val="9"/>
        <rFont val="Times New Roman"/>
        <family val="1"/>
      </rPr>
      <t>12/GM/88</t>
    </r>
    <r>
      <rPr>
        <i/>
        <sz val="9"/>
        <rFont val="新細明體"/>
        <family val="1"/>
      </rPr>
      <t>號及第</t>
    </r>
    <r>
      <rPr>
        <i/>
        <sz val="9"/>
        <rFont val="Times New Roman"/>
        <family val="1"/>
      </rPr>
      <t>49/GM/88</t>
    </r>
    <r>
      <rPr>
        <i/>
        <sz val="9"/>
        <rFont val="新細明體"/>
        <family val="1"/>
      </rPr>
      <t>號關於輸入勞工及專業勞工的批示</t>
    </r>
  </si>
  <si>
    <t>VI. 建築與不動產</t>
  </si>
  <si>
    <r>
      <t xml:space="preserve">1. </t>
    </r>
    <r>
      <rPr>
        <sz val="12"/>
        <rFont val="新細明體"/>
        <family val="1"/>
      </rPr>
      <t>私人工程</t>
    </r>
  </si>
  <si>
    <t>一、新動工私人樓宇</t>
  </si>
  <si>
    <t>數目</t>
  </si>
  <si>
    <r>
      <t xml:space="preserve">     </t>
    </r>
    <r>
      <rPr>
        <u val="single"/>
        <sz val="10"/>
        <rFont val="新細明體"/>
        <family val="1"/>
      </rPr>
      <t>1. 單位總數</t>
    </r>
  </si>
  <si>
    <t xml:space="preserve">         住宅 </t>
  </si>
  <si>
    <t xml:space="preserve">         商業及寫字樓</t>
  </si>
  <si>
    <t>-</t>
  </si>
  <si>
    <t xml:space="preserve">         工業 </t>
  </si>
  <si>
    <r>
      <t xml:space="preserve">      </t>
    </r>
    <r>
      <rPr>
        <u val="single"/>
        <sz val="10"/>
        <rFont val="新細明體"/>
        <family val="1"/>
      </rPr>
      <t>2. 總建築面積</t>
    </r>
  </si>
  <si>
    <t>千平方米</t>
  </si>
</sst>
</file>

<file path=xl/styles.xml><?xml version="1.0" encoding="utf-8"?>
<styleSheet xmlns="http://schemas.openxmlformats.org/spreadsheetml/2006/main">
  <numFmts count="1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8" formatCode="#,##0.0_);[Red]\(#,##0.0\)"/>
    <numFmt numFmtId="179" formatCode="#\ ###.0"/>
    <numFmt numFmtId="180" formatCode="#,##0.0"/>
    <numFmt numFmtId="181" formatCode="0_);[Red]\(0\)"/>
    <numFmt numFmtId="182" formatCode="0__"/>
    <numFmt numFmtId="183" formatCode="0.0\ \ "/>
    <numFmt numFmtId="184" formatCode="0.0__"/>
    <numFmt numFmtId="185" formatCode="#\ ##0"/>
    <numFmt numFmtId="186" formatCode="\+#,##0.00\ ;\-#,##0.00\ "/>
    <numFmt numFmtId="187" formatCode="#\ ###"/>
    <numFmt numFmtId="188" formatCode="#,##0_ "/>
    <numFmt numFmtId="189" formatCode="0\ \ "/>
    <numFmt numFmtId="190" formatCode="@\ "/>
    <numFmt numFmtId="191" formatCode="#,###"/>
    <numFmt numFmtId="192" formatCode="##\ ##0\ "/>
    <numFmt numFmtId="193" formatCode="#\ ###\ ##0;\-#\ ##0;\-"/>
    <numFmt numFmtId="194" formatCode="#\ ##0;\-#\ ##0;\-"/>
    <numFmt numFmtId="195" formatCode="0.00\ "/>
    <numFmt numFmtId="196" formatCode="\+#,##0.00_);\-#,##0.00"/>
    <numFmt numFmtId="197" formatCode="\+#,##0.00_);\-#,##0.00\ "/>
    <numFmt numFmtId="198" formatCode="0\ \ \ "/>
    <numFmt numFmtId="199" formatCode="0.0_);[Red]\(0.0\)"/>
    <numFmt numFmtId="200" formatCode="0.00_);[Red]\(0.00\)"/>
    <numFmt numFmtId="201" formatCode="#\ ##0.0"/>
    <numFmt numFmtId="202" formatCode="#\ ###\ ##0"/>
    <numFmt numFmtId="203" formatCode="\ #\ ##0.0"/>
    <numFmt numFmtId="204" formatCode="##\ ###.0"/>
    <numFmt numFmtId="205" formatCode="#,###.0"/>
    <numFmt numFmtId="206" formatCode="\ \ #\ ##0.0"/>
    <numFmt numFmtId="207" formatCode="0.0"/>
    <numFmt numFmtId="208" formatCode="#\ ##.00"/>
    <numFmt numFmtId="209" formatCode="#,##0.0_ "/>
    <numFmt numFmtId="210" formatCode="0.0_ "/>
    <numFmt numFmtId="211" formatCode="#.##0"/>
    <numFmt numFmtId="212" formatCode="#.0"/>
    <numFmt numFmtId="213" formatCode="#\ ##0\ 000"/>
    <numFmt numFmtId="214" formatCode="#.00"/>
    <numFmt numFmtId="215" formatCode="#,###,000"/>
    <numFmt numFmtId="216" formatCode="0.00_ "/>
    <numFmt numFmtId="217" formatCode="#,##0.00_ "/>
    <numFmt numFmtId="218" formatCode="\+0.00_ "/>
    <numFmt numFmtId="219" formatCode="##\ ###\ ##0\ "/>
    <numFmt numFmtId="220" formatCode="\ ##\ ###\ #00"/>
    <numFmt numFmtId="221" formatCode="\ ###\ ###\ #00\ "/>
    <numFmt numFmtId="222" formatCode="\ ###\ ###\ ##0\ "/>
    <numFmt numFmtId="223" formatCode="#\ ###\ #00"/>
    <numFmt numFmtId="224" formatCode="#\ ###\ ##0\ "/>
    <numFmt numFmtId="225" formatCode="\ ##\ ###\ ##0_ "/>
    <numFmt numFmtId="226" formatCode="\ #\ ###\ #00"/>
    <numFmt numFmtId="227" formatCode="\ ##\ ###\ ##0\ "/>
    <numFmt numFmtId="228" formatCode="\ ##\ ###\ ##0"/>
    <numFmt numFmtId="229" formatCode="##\ ###\ ##0"/>
    <numFmt numFmtId="230" formatCode="\ ##0"/>
    <numFmt numFmtId="231" formatCode="0\¹\ "/>
    <numFmt numFmtId="232" formatCode="##\ ##0"/>
    <numFmt numFmtId="233" formatCode="##0"/>
    <numFmt numFmtId="234" formatCode="#,##0;#,##0;&quot;-&quot;"/>
    <numFmt numFmtId="235" formatCode="0.000"/>
    <numFmt numFmtId="236" formatCode="#,###,\ ##0"/>
    <numFmt numFmtId="237" formatCode="\+#\ ##0.00;\-#\ ##0.00\ "/>
    <numFmt numFmtId="238" formatCode="#\ ##0;\-#\ ##0;.."/>
    <numFmt numFmtId="239" formatCode="0\ ;0\ ;&quot;.. &quot;"/>
    <numFmt numFmtId="240" formatCode="###0;\-###0;.."/>
    <numFmt numFmtId="241" formatCode="#\ ###.0,"/>
    <numFmt numFmtId="242" formatCode="0#.0,"/>
    <numFmt numFmtId="243" formatCode="#.0,"/>
    <numFmt numFmtId="244" formatCode="#\ ###\ ##0;\-#\ ###\ ##0;\-"/>
    <numFmt numFmtId="245" formatCode="#,###,##0;\-#\ ##0;\-"/>
    <numFmt numFmtId="246" formatCode="#\ ###\ \ ##0"/>
    <numFmt numFmtId="247" formatCode="0.0000"/>
    <numFmt numFmtId="248" formatCode="#\ ##0.00"/>
    <numFmt numFmtId="249" formatCode="#\ ##0.0000"/>
    <numFmt numFmtId="250" formatCode="m&quot;月&quot;d&quot;日&quot;"/>
    <numFmt numFmtId="251" formatCode="#\ ###\ ##0.0"/>
    <numFmt numFmtId="252" formatCode="0.0%"/>
    <numFmt numFmtId="253" formatCode="\(0.0\);\(\-0.0\)"/>
    <numFmt numFmtId="254" formatCode="0.0_-"/>
    <numFmt numFmtId="255" formatCode="0.00_-"/>
    <numFmt numFmtId="256" formatCode="#,##0\ &quot;MOP&quot;;[Red]\-#,##0\ &quot;MOP&quot;"/>
    <numFmt numFmtId="257" formatCode="#,##0__"/>
    <numFmt numFmtId="258" formatCode="0.0%_)"/>
    <numFmt numFmtId="259" formatCode="#,##0_)"/>
    <numFmt numFmtId="260" formatCode="0.0%__"/>
    <numFmt numFmtId="261" formatCode="0.00%_)"/>
    <numFmt numFmtId="262" formatCode="#,##0.0____"/>
    <numFmt numFmtId="263" formatCode="###\ ###\ ###"/>
    <numFmt numFmtId="264" formatCode="0_ "/>
    <numFmt numFmtId="265" formatCode="###\ ###\ ##0"/>
    <numFmt numFmtId="266" formatCode="0;[Red]0"/>
    <numFmt numFmtId="267" formatCode="[=0]&quot;-&quot;;[&gt;0]###\ ###\ ###;"/>
    <numFmt numFmtId="268" formatCode="[=0]&quot;-&quot;;[&gt;0]#\ ###;"/>
    <numFmt numFmtId="269" formatCode="mm&quot;月&quot;dd&quot;日&quot;"/>
    <numFmt numFmtId="270" formatCode="[=0]&quot;..&quot;;[&gt;0]###\ ###\ ###;"/>
    <numFmt numFmtId="271" formatCode="###\ ###\ ###;;.."/>
    <numFmt numFmtId="272" formatCode="[=0]&quot;-&quot;;[&gt;0]#\ ###;0;"/>
    <numFmt numFmtId="273" formatCode="[&gt;0]###\ ###\ ###;[=0]&quot;-&quot;;General"/>
    <numFmt numFmtId="274" formatCode="[&gt;2]###\ ###\ ###;[&gt;0]&quot;#&quot;;&quot;-&quot;"/>
    <numFmt numFmtId="275" formatCode="@\ &quot; - &quot;"/>
    <numFmt numFmtId="276" formatCode="General_)"/>
    <numFmt numFmtId="277" formatCode="@&quot; - &quot;"/>
    <numFmt numFmtId="278" formatCode="@&quot; -&quot;"/>
    <numFmt numFmtId="279" formatCode="[=0]&quot;-&quot;;[&gt;0]###\ ###;0;"/>
    <numFmt numFmtId="280" formatCode="[=0]&quot;-&quot;;[&gt;0]###\ ###\ ###;General"/>
    <numFmt numFmtId="281" formatCode="\ #\ ###\ ##0"/>
    <numFmt numFmtId="282" formatCode="#\ ##0_ "/>
    <numFmt numFmtId="283" formatCode="#\ ##0.0_ "/>
    <numFmt numFmtId="284" formatCode="_-* #,##0.0_-;\-* #,##0.0_-;_-* &quot;-&quot;??_-;_-@_-"/>
    <numFmt numFmtId="285" formatCode="#\ ###\ "/>
    <numFmt numFmtId="286" formatCode="#.\ ##0"/>
    <numFmt numFmtId="287" formatCode="_-* #,##0.0_-;\-* #,##0.0_-;_-* &quot;-&quot;_-;_-@_-"/>
    <numFmt numFmtId="288" formatCode="#,##0.0;[Red]\-#,##0.0"/>
    <numFmt numFmtId="289" formatCode="#,000.0"/>
    <numFmt numFmtId="290" formatCode="#,##0.0000_);[Red]\(#,##0.0000\)"/>
    <numFmt numFmtId="291" formatCode="#,##0.000_ "/>
    <numFmt numFmtId="292" formatCode="0.0000_ "/>
  </numFmts>
  <fonts count="32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b/>
      <u val="single"/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i/>
      <sz val="9"/>
      <name val="Times New Roman"/>
      <family val="1"/>
    </font>
    <font>
      <i/>
      <sz val="9"/>
      <name val="新細明體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9"/>
      <name val="細明體"/>
      <family val="3"/>
    </font>
    <font>
      <u val="single"/>
      <sz val="10"/>
      <name val="新細明體"/>
      <family val="1"/>
    </font>
    <font>
      <vertAlign val="superscript"/>
      <sz val="10"/>
      <name val="新細明體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i/>
      <sz val="10"/>
      <name val="新細明體"/>
      <family val="1"/>
    </font>
    <font>
      <b/>
      <vertAlign val="superscript"/>
      <sz val="10"/>
      <name val="Times New Roman"/>
      <family val="1"/>
    </font>
    <font>
      <i/>
      <sz val="8"/>
      <name val="新細明體"/>
      <family val="1"/>
    </font>
    <font>
      <u val="single"/>
      <vertAlign val="superscript"/>
      <sz val="10"/>
      <name val="新細明體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新細明體"/>
      <family val="1"/>
    </font>
    <font>
      <vertAlign val="superscript"/>
      <sz val="12"/>
      <name val="Times New Roman"/>
      <family val="1"/>
    </font>
    <font>
      <u val="single"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Font="0" applyBorder="0" applyAlignment="0">
      <protection hidden="1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4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quotePrefix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210" fontId="9" fillId="0" borderId="0" xfId="0" applyNumberFormat="1" applyFont="1" applyAlignment="1">
      <alignment horizontal="right" vertical="center"/>
    </xf>
    <xf numFmtId="0" fontId="10" fillId="0" borderId="7" xfId="0" applyFont="1" applyBorder="1" applyAlignment="1" quotePrefix="1">
      <alignment horizontal="left" vertical="center"/>
    </xf>
    <xf numFmtId="207" fontId="9" fillId="0" borderId="8" xfId="0" applyNumberFormat="1" applyFont="1" applyBorder="1" applyAlignment="1">
      <alignment horizontal="right" vertical="center"/>
    </xf>
    <xf numFmtId="207" fontId="9" fillId="0" borderId="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 vertical="top"/>
    </xf>
    <xf numFmtId="0" fontId="12" fillId="0" borderId="6" xfId="0" applyFont="1" applyBorder="1" applyAlignment="1" quotePrefix="1">
      <alignment horizontal="center" vertical="top"/>
    </xf>
    <xf numFmtId="0" fontId="9" fillId="0" borderId="8" xfId="0" applyFont="1" applyBorder="1" applyAlignment="1">
      <alignment vertical="center"/>
    </xf>
    <xf numFmtId="210" fontId="9" fillId="0" borderId="0" xfId="0" applyNumberFormat="1" applyFont="1" applyAlignment="1">
      <alignment horizontal="right"/>
    </xf>
    <xf numFmtId="210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07" fontId="9" fillId="0" borderId="8" xfId="0" applyNumberFormat="1" applyFont="1" applyBorder="1" applyAlignment="1">
      <alignment horizontal="right"/>
    </xf>
    <xf numFmtId="207" fontId="9" fillId="0" borderId="0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10" fontId="9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10" fillId="0" borderId="3" xfId="0" applyFont="1" applyBorder="1" applyAlignment="1">
      <alignment horizontal="center"/>
    </xf>
    <xf numFmtId="0" fontId="11" fillId="0" borderId="1" xfId="0" applyFont="1" applyBorder="1" applyAlignment="1" quotePrefix="1">
      <alignment horizontal="center"/>
    </xf>
    <xf numFmtId="0" fontId="11" fillId="0" borderId="3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3" xfId="0" applyBorder="1" applyAlignment="1">
      <alignment/>
    </xf>
    <xf numFmtId="0" fontId="12" fillId="0" borderId="7" xfId="0" applyFont="1" applyBorder="1" applyAlignment="1">
      <alignment/>
    </xf>
    <xf numFmtId="0" fontId="0" fillId="0" borderId="0" xfId="0" applyBorder="1" applyAlignment="1">
      <alignment/>
    </xf>
    <xf numFmtId="0" fontId="10" fillId="0" borderId="7" xfId="0" applyFont="1" applyBorder="1" applyAlignment="1">
      <alignment/>
    </xf>
    <xf numFmtId="0" fontId="9" fillId="0" borderId="7" xfId="0" applyFont="1" applyBorder="1" applyAlignment="1">
      <alignment/>
    </xf>
    <xf numFmtId="281" fontId="9" fillId="0" borderId="0" xfId="0" applyNumberFormat="1" applyFont="1" applyAlignment="1">
      <alignment/>
    </xf>
    <xf numFmtId="281" fontId="9" fillId="0" borderId="0" xfId="0" applyNumberFormat="1" applyFont="1" applyBorder="1" applyAlignment="1">
      <alignment/>
    </xf>
    <xf numFmtId="209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209" fontId="9" fillId="0" borderId="0" xfId="0" applyNumberFormat="1" applyFont="1" applyAlignment="1">
      <alignment/>
    </xf>
    <xf numFmtId="209" fontId="9" fillId="0" borderId="0" xfId="0" applyNumberFormat="1" applyFont="1" applyBorder="1" applyAlignment="1">
      <alignment/>
    </xf>
    <xf numFmtId="209" fontId="9" fillId="0" borderId="0" xfId="0" applyNumberFormat="1" applyFont="1" applyBorder="1" applyAlignment="1">
      <alignment horizontal="right"/>
    </xf>
    <xf numFmtId="188" fontId="9" fillId="0" borderId="0" xfId="0" applyNumberFormat="1" applyFont="1" applyAlignment="1">
      <alignment/>
    </xf>
    <xf numFmtId="188" fontId="9" fillId="0" borderId="0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/>
    </xf>
    <xf numFmtId="209" fontId="9" fillId="0" borderId="0" xfId="0" applyNumberFormat="1" applyFont="1" applyBorder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 quotePrefix="1">
      <alignment horizontal="right"/>
    </xf>
    <xf numFmtId="178" fontId="9" fillId="0" borderId="0" xfId="0" applyNumberFormat="1" applyFont="1" applyBorder="1" applyAlignment="1">
      <alignment horizontal="right"/>
    </xf>
    <xf numFmtId="188" fontId="9" fillId="0" borderId="8" xfId="0" applyNumberFormat="1" applyFont="1" applyBorder="1" applyAlignment="1">
      <alignment horizontal="right"/>
    </xf>
    <xf numFmtId="210" fontId="9" fillId="0" borderId="0" xfId="0" applyNumberFormat="1" applyFont="1" applyBorder="1" applyAlignment="1">
      <alignment horizontal="right"/>
    </xf>
    <xf numFmtId="0" fontId="10" fillId="0" borderId="7" xfId="0" applyFont="1" applyBorder="1" applyAlignment="1" quotePrefix="1">
      <alignment horizontal="left"/>
    </xf>
    <xf numFmtId="282" fontId="9" fillId="0" borderId="0" xfId="0" applyNumberFormat="1" applyFont="1" applyAlignment="1" quotePrefix="1">
      <alignment horizontal="right"/>
    </xf>
    <xf numFmtId="282" fontId="9" fillId="0" borderId="0" xfId="0" applyNumberFormat="1" applyFont="1" applyAlignment="1">
      <alignment/>
    </xf>
    <xf numFmtId="282" fontId="9" fillId="0" borderId="0" xfId="0" applyNumberFormat="1" applyFont="1" applyBorder="1" applyAlignment="1">
      <alignment/>
    </xf>
    <xf numFmtId="282" fontId="9" fillId="0" borderId="0" xfId="0" applyNumberFormat="1" applyFont="1" applyBorder="1" applyAlignment="1">
      <alignment horizontal="right"/>
    </xf>
    <xf numFmtId="283" fontId="9" fillId="0" borderId="0" xfId="0" applyNumberFormat="1" applyFont="1" applyBorder="1" applyAlignment="1">
      <alignment/>
    </xf>
    <xf numFmtId="282" fontId="9" fillId="0" borderId="0" xfId="0" applyNumberFormat="1" applyFont="1" applyAlignment="1">
      <alignment horizontal="right"/>
    </xf>
    <xf numFmtId="283" fontId="9" fillId="0" borderId="0" xfId="0" applyNumberFormat="1" applyFont="1" applyAlignment="1">
      <alignment horizontal="right"/>
    </xf>
    <xf numFmtId="209" fontId="9" fillId="0" borderId="0" xfId="0" applyNumberFormat="1" applyFont="1" applyAlignment="1" quotePrefix="1">
      <alignment horizontal="right"/>
    </xf>
    <xf numFmtId="209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Alignment="1" quotePrefix="1">
      <alignment horizontal="right"/>
    </xf>
    <xf numFmtId="188" fontId="9" fillId="0" borderId="0" xfId="17" applyNumberFormat="1" applyFont="1" applyBorder="1" applyAlignment="1">
      <alignment horizontal="right"/>
    </xf>
    <xf numFmtId="188" fontId="9" fillId="0" borderId="0" xfId="17" applyNumberFormat="1" applyFont="1" applyBorder="1" applyAlignment="1" quotePrefix="1">
      <alignment horizontal="right"/>
    </xf>
    <xf numFmtId="209" fontId="11" fillId="0" borderId="0" xfId="0" applyNumberFormat="1" applyFont="1" applyBorder="1" applyAlignment="1">
      <alignment horizontal="right"/>
    </xf>
    <xf numFmtId="0" fontId="9" fillId="0" borderId="7" xfId="0" applyFont="1" applyBorder="1" applyAlignment="1" quotePrefix="1">
      <alignment horizontal="left"/>
    </xf>
    <xf numFmtId="178" fontId="9" fillId="0" borderId="8" xfId="0" applyNumberFormat="1" applyFont="1" applyBorder="1" applyAlignment="1">
      <alignment/>
    </xf>
    <xf numFmtId="284" fontId="9" fillId="0" borderId="0" xfId="17" applyNumberFormat="1" applyFont="1" applyBorder="1" applyAlignment="1" quotePrefix="1">
      <alignment horizontal="right"/>
    </xf>
    <xf numFmtId="207" fontId="9" fillId="0" borderId="0" xfId="0" applyNumberFormat="1" applyFont="1" applyBorder="1" applyAlignment="1" quotePrefix="1">
      <alignment horizontal="right"/>
    </xf>
    <xf numFmtId="188" fontId="9" fillId="0" borderId="0" xfId="0" applyNumberFormat="1" applyFont="1" applyBorder="1" applyAlignment="1" quotePrefix="1">
      <alignment horizontal="right"/>
    </xf>
    <xf numFmtId="207" fontId="9" fillId="0" borderId="0" xfId="0" applyNumberFormat="1" applyFont="1" applyBorder="1" applyAlignment="1">
      <alignment/>
    </xf>
    <xf numFmtId="284" fontId="9" fillId="0" borderId="0" xfId="17" applyNumberFormat="1" applyFont="1" applyBorder="1" applyAlignment="1">
      <alignment/>
    </xf>
    <xf numFmtId="284" fontId="9" fillId="0" borderId="0" xfId="17" applyNumberFormat="1" applyFont="1" applyAlignment="1">
      <alignment horizontal="right"/>
    </xf>
    <xf numFmtId="0" fontId="9" fillId="0" borderId="0" xfId="0" applyFont="1" applyBorder="1" applyAlignment="1" quotePrefix="1">
      <alignment horizontal="right"/>
    </xf>
    <xf numFmtId="209" fontId="9" fillId="0" borderId="0" xfId="0" applyNumberFormat="1" applyFont="1" applyAlignment="1">
      <alignment horizontal="right"/>
    </xf>
    <xf numFmtId="209" fontId="9" fillId="0" borderId="0" xfId="0" applyNumberFormat="1" applyFont="1" applyFill="1" applyBorder="1" applyAlignment="1">
      <alignment horizontal="right"/>
    </xf>
    <xf numFmtId="209" fontId="9" fillId="0" borderId="0" xfId="0" applyNumberFormat="1" applyFont="1" applyFill="1" applyBorder="1" applyAlignment="1" quotePrefix="1">
      <alignment horizontal="right"/>
    </xf>
    <xf numFmtId="201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80" fontId="9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0" fillId="0" borderId="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5" fontId="9" fillId="0" borderId="0" xfId="0" applyNumberFormat="1" applyFont="1" applyBorder="1" applyAlignment="1">
      <alignment horizontal="right" vertical="center"/>
    </xf>
    <xf numFmtId="210" fontId="10" fillId="0" borderId="0" xfId="0" applyNumberFormat="1" applyFont="1" applyAlignment="1">
      <alignment vertical="center"/>
    </xf>
    <xf numFmtId="210" fontId="10" fillId="0" borderId="7" xfId="0" applyNumberFormat="1" applyFont="1" applyBorder="1" applyAlignment="1">
      <alignment vertical="center"/>
    </xf>
    <xf numFmtId="207" fontId="9" fillId="0" borderId="0" xfId="0" applyNumberFormat="1" applyFont="1" applyAlignment="1">
      <alignment horizontal="right" vertical="center"/>
    </xf>
    <xf numFmtId="2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0" fontId="14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horizontal="left" vertical="center"/>
    </xf>
    <xf numFmtId="0" fontId="6" fillId="0" borderId="6" xfId="0" applyFont="1" applyBorder="1" applyAlignment="1">
      <alignment vertical="center"/>
    </xf>
    <xf numFmtId="0" fontId="12" fillId="0" borderId="7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10" fontId="9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210" fontId="10" fillId="0" borderId="0" xfId="0" applyNumberFormat="1" applyFont="1" applyBorder="1" applyAlignment="1">
      <alignment horizontal="right" vertical="center"/>
    </xf>
    <xf numFmtId="210" fontId="6" fillId="0" borderId="0" xfId="0" applyNumberFormat="1" applyFont="1" applyAlignment="1">
      <alignment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85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5" fontId="9" fillId="0" borderId="0" xfId="17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38" fontId="9" fillId="0" borderId="6" xfId="0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210" fontId="9" fillId="0" borderId="7" xfId="0" applyNumberFormat="1" applyFont="1" applyBorder="1" applyAlignment="1">
      <alignment horizontal="right" vertical="center"/>
    </xf>
    <xf numFmtId="210" fontId="0" fillId="0" borderId="0" xfId="0" applyNumberFormat="1" applyFont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210" fontId="11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7" fillId="0" borderId="6" xfId="0" applyFont="1" applyBorder="1" applyAlignment="1" quotePrefix="1">
      <alignment horizontal="right" vertic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07" fontId="9" fillId="0" borderId="0" xfId="0" applyNumberFormat="1" applyFont="1" applyAlignment="1">
      <alignment/>
    </xf>
    <xf numFmtId="9" fontId="9" fillId="0" borderId="0" xfId="0" applyNumberFormat="1" applyFont="1" applyBorder="1" applyAlignment="1">
      <alignment horizontal="center" vertical="center"/>
    </xf>
    <xf numFmtId="210" fontId="9" fillId="0" borderId="0" xfId="0" applyNumberFormat="1" applyFont="1" applyAlignment="1">
      <alignment vertical="center"/>
    </xf>
    <xf numFmtId="210" fontId="9" fillId="0" borderId="0" xfId="0" applyNumberFormat="1" applyFont="1" applyAlignment="1">
      <alignment horizontal="center" vertical="center"/>
    </xf>
    <xf numFmtId="207" fontId="9" fillId="0" borderId="0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12" fillId="0" borderId="0" xfId="0" applyFont="1" applyBorder="1" applyAlignment="1" quotePrefix="1">
      <alignment horizontal="left" vertical="center"/>
    </xf>
    <xf numFmtId="209" fontId="9" fillId="0" borderId="8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 quotePrefix="1">
      <alignment horizontal="left" vertical="center"/>
    </xf>
    <xf numFmtId="0" fontId="6" fillId="0" borderId="8" xfId="0" applyFont="1" applyBorder="1" applyAlignment="1">
      <alignment vertical="center"/>
    </xf>
    <xf numFmtId="209" fontId="9" fillId="0" borderId="8" xfId="0" applyNumberFormat="1" applyFont="1" applyBorder="1" applyAlignment="1">
      <alignment vertical="center"/>
    </xf>
    <xf numFmtId="209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 quotePrefix="1">
      <alignment vertical="center"/>
    </xf>
    <xf numFmtId="178" fontId="9" fillId="0" borderId="0" xfId="0" applyNumberFormat="1" applyFont="1" applyBorder="1" applyAlignment="1" quotePrefix="1">
      <alignment horizontal="right" vertical="center"/>
    </xf>
    <xf numFmtId="0" fontId="21" fillId="0" borderId="0" xfId="0" applyFont="1" applyAlignment="1">
      <alignment vertical="center"/>
    </xf>
    <xf numFmtId="209" fontId="10" fillId="0" borderId="0" xfId="0" applyNumberFormat="1" applyFont="1" applyAlignment="1">
      <alignment vertical="center"/>
    </xf>
    <xf numFmtId="217" fontId="10" fillId="0" borderId="0" xfId="0" applyNumberFormat="1" applyFont="1" applyAlignment="1">
      <alignment vertical="center"/>
    </xf>
    <xf numFmtId="0" fontId="21" fillId="0" borderId="0" xfId="0" applyFont="1" applyAlignment="1" quotePrefix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9" fillId="0" borderId="0" xfId="0" applyFont="1" applyBorder="1" applyAlignment="1" quotePrefix="1">
      <alignment horizontal="right" vertical="center"/>
    </xf>
    <xf numFmtId="0" fontId="21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1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209" fontId="10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9" fillId="0" borderId="8" xfId="0" applyFont="1" applyBorder="1" applyAlignment="1">
      <alignment/>
    </xf>
    <xf numFmtId="0" fontId="10" fillId="0" borderId="0" xfId="0" applyFont="1" applyAlignment="1">
      <alignment/>
    </xf>
    <xf numFmtId="209" fontId="9" fillId="0" borderId="8" xfId="0" applyNumberFormat="1" applyFont="1" applyBorder="1" applyAlignment="1">
      <alignment/>
    </xf>
    <xf numFmtId="38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09" fontId="9" fillId="0" borderId="8" xfId="0" applyNumberFormat="1" applyFont="1" applyBorder="1" applyAlignment="1" quotePrefix="1">
      <alignment horizontal="right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1" fillId="0" borderId="0" xfId="0" applyFont="1" applyAlignment="1" quotePrefix="1">
      <alignment horizontal="left"/>
    </xf>
    <xf numFmtId="216" fontId="9" fillId="0" borderId="0" xfId="0" applyNumberFormat="1" applyFont="1" applyAlignment="1">
      <alignment/>
    </xf>
    <xf numFmtId="0" fontId="22" fillId="0" borderId="0" xfId="0" applyFont="1" applyAlignment="1" quotePrefix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09" fontId="11" fillId="0" borderId="0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78" fontId="9" fillId="0" borderId="6" xfId="0" applyNumberFormat="1" applyFont="1" applyBorder="1" applyAlignment="1">
      <alignment horizontal="center" vertical="center"/>
    </xf>
    <xf numFmtId="209" fontId="11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/>
    </xf>
    <xf numFmtId="209" fontId="9" fillId="0" borderId="0" xfId="0" applyNumberFormat="1" applyFont="1" applyBorder="1" applyAlignment="1" quotePrefix="1">
      <alignment horizontal="right" vertical="center"/>
    </xf>
    <xf numFmtId="178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 quotePrefix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top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 quotePrefix="1">
      <alignment horizont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 quotePrefix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0" fillId="0" borderId="7" xfId="0" applyFont="1" applyBorder="1" applyAlignment="1" applyProtection="1">
      <alignment/>
      <protection hidden="1"/>
    </xf>
    <xf numFmtId="207" fontId="9" fillId="0" borderId="8" xfId="0" applyNumberFormat="1" applyFont="1" applyBorder="1" applyAlignment="1" applyProtection="1">
      <alignment/>
      <protection hidden="1"/>
    </xf>
    <xf numFmtId="207" fontId="9" fillId="0" borderId="0" xfId="0" applyNumberFormat="1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/>
    </xf>
    <xf numFmtId="207" fontId="11" fillId="0" borderId="8" xfId="0" applyNumberFormat="1" applyFont="1" applyBorder="1" applyAlignment="1" applyProtection="1">
      <alignment/>
      <protection hidden="1"/>
    </xf>
    <xf numFmtId="0" fontId="12" fillId="0" borderId="7" xfId="0" applyFont="1" applyBorder="1" applyAlignment="1" applyProtection="1">
      <alignment/>
      <protection hidden="1"/>
    </xf>
    <xf numFmtId="0" fontId="9" fillId="0" borderId="6" xfId="0" applyFont="1" applyBorder="1" applyAlignment="1" applyProtection="1">
      <alignment/>
      <protection hidden="1"/>
    </xf>
    <xf numFmtId="0" fontId="12" fillId="0" borderId="4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210" fontId="9" fillId="0" borderId="6" xfId="0" applyNumberFormat="1" applyFont="1" applyBorder="1" applyAlignment="1" applyProtection="1">
      <alignment horizontal="center"/>
      <protection hidden="1"/>
    </xf>
    <xf numFmtId="210" fontId="9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 quotePrefix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210" fontId="26" fillId="0" borderId="0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11" fillId="0" borderId="0" xfId="0" applyFont="1" applyBorder="1" applyAlignment="1" applyProtection="1" quotePrefix="1">
      <alignment horizontal="left"/>
      <protection hidden="1"/>
    </xf>
    <xf numFmtId="3" fontId="9" fillId="0" borderId="0" xfId="17" applyNumberFormat="1" applyFont="1" applyBorder="1" applyAlignment="1" applyProtection="1">
      <alignment horizontal="right"/>
      <protection hidden="1"/>
    </xf>
    <xf numFmtId="3" fontId="9" fillId="0" borderId="0" xfId="17" applyNumberFormat="1" applyFont="1" applyBorder="1" applyAlignment="1" applyProtection="1">
      <alignment horizontal="right" vertical="center"/>
      <protection hidden="1"/>
    </xf>
    <xf numFmtId="3" fontId="9" fillId="0" borderId="0" xfId="17" applyNumberFormat="1" applyFont="1" applyBorder="1" applyAlignment="1" applyProtection="1" quotePrefix="1">
      <alignment horizontal="right" vertical="center"/>
      <protection hidden="1"/>
    </xf>
    <xf numFmtId="38" fontId="9" fillId="0" borderId="0" xfId="0" applyNumberFormat="1" applyFont="1" applyBorder="1" applyAlignment="1" applyProtection="1">
      <alignment horizontal="right"/>
      <protection hidden="1"/>
    </xf>
    <xf numFmtId="207" fontId="9" fillId="0" borderId="0" xfId="0" applyNumberFormat="1" applyFont="1" applyBorder="1" applyAlignment="1" applyProtection="1">
      <alignment horizontal="right" vertical="center"/>
      <protection hidden="1"/>
    </xf>
    <xf numFmtId="210" fontId="9" fillId="0" borderId="0" xfId="0" applyNumberFormat="1" applyFont="1" applyBorder="1" applyAlignment="1" applyProtection="1">
      <alignment horizontal="right"/>
      <protection hidden="1"/>
    </xf>
    <xf numFmtId="207" fontId="9" fillId="0" borderId="0" xfId="0" applyNumberFormat="1" applyFont="1" applyBorder="1" applyAlignment="1" applyProtection="1" quotePrefix="1">
      <alignment horizontal="right" vertical="center"/>
      <protection hidden="1"/>
    </xf>
    <xf numFmtId="0" fontId="10" fillId="0" borderId="0" xfId="0" applyFont="1" applyBorder="1" applyAlignment="1" applyProtection="1" quotePrefix="1">
      <alignment horizontal="left"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264" fontId="9" fillId="0" borderId="0" xfId="0" applyNumberFormat="1" applyFont="1" applyBorder="1" applyAlignment="1" applyProtection="1">
      <alignment horizontal="right" vertical="center"/>
      <protection hidden="1"/>
    </xf>
    <xf numFmtId="210" fontId="9" fillId="0" borderId="0" xfId="0" applyNumberFormat="1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/>
    </xf>
    <xf numFmtId="0" fontId="12" fillId="0" borderId="6" xfId="0" applyFont="1" applyBorder="1" applyAlignment="1" applyProtection="1">
      <alignment/>
      <protection hidden="1"/>
    </xf>
    <xf numFmtId="0" fontId="9" fillId="0" borderId="6" xfId="0" applyNumberFormat="1" applyFont="1" applyBorder="1" applyAlignment="1" applyProtection="1">
      <alignment horizontal="right"/>
      <protection hidden="1"/>
    </xf>
    <xf numFmtId="49" fontId="16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7" xfId="0" applyFont="1" applyBorder="1" applyAlignment="1">
      <alignment horizontal="left" vertical="center"/>
    </xf>
    <xf numFmtId="254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99" fontId="9" fillId="0" borderId="0" xfId="0" applyNumberFormat="1" applyFont="1" applyBorder="1" applyAlignment="1">
      <alignment horizontal="right" vertical="center"/>
    </xf>
    <xf numFmtId="209" fontId="9" fillId="0" borderId="6" xfId="0" applyNumberFormat="1" applyFont="1" applyBorder="1" applyAlignment="1">
      <alignment horizontal="center" vertical="center"/>
    </xf>
    <xf numFmtId="285" fontId="9" fillId="0" borderId="0" xfId="0" applyNumberFormat="1" applyFont="1" applyFill="1" applyBorder="1" applyAlignment="1">
      <alignment horizontal="right" vertical="center"/>
    </xf>
    <xf numFmtId="285" fontId="9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Fill="1" applyBorder="1" applyAlignment="1" quotePrefix="1">
      <alignment horizontal="right" vertical="center"/>
    </xf>
    <xf numFmtId="210" fontId="9" fillId="0" borderId="0" xfId="0" applyNumberFormat="1" applyFont="1" applyFill="1" applyBorder="1" applyAlignment="1">
      <alignment horizontal="right" vertical="center"/>
    </xf>
    <xf numFmtId="285" fontId="11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285" fontId="9" fillId="0" borderId="0" xfId="0" applyNumberFormat="1" applyFont="1" applyAlignment="1">
      <alignment horizontal="right" vertical="center"/>
    </xf>
    <xf numFmtId="209" fontId="28" fillId="0" borderId="0" xfId="0" applyNumberFormat="1" applyFont="1" applyBorder="1" applyAlignment="1">
      <alignment horizontal="left"/>
    </xf>
    <xf numFmtId="199" fontId="12" fillId="0" borderId="0" xfId="0" applyNumberFormat="1" applyFont="1" applyBorder="1" applyAlignment="1">
      <alignment vertical="center"/>
    </xf>
    <xf numFmtId="199" fontId="10" fillId="0" borderId="7" xfId="0" applyNumberFormat="1" applyFont="1" applyBorder="1" applyAlignment="1">
      <alignment vertical="center"/>
    </xf>
    <xf numFmtId="199" fontId="9" fillId="0" borderId="0" xfId="0" applyNumberFormat="1" applyFont="1" applyFill="1" applyBorder="1" applyAlignment="1">
      <alignment horizontal="right" vertical="center"/>
    </xf>
    <xf numFmtId="199" fontId="11" fillId="0" borderId="0" xfId="0" applyNumberFormat="1" applyFont="1" applyAlignment="1">
      <alignment vertical="center"/>
    </xf>
    <xf numFmtId="209" fontId="11" fillId="0" borderId="0" xfId="0" applyNumberFormat="1" applyFont="1" applyBorder="1" applyAlignment="1" quotePrefix="1">
      <alignment horizontal="right" vertical="center"/>
    </xf>
    <xf numFmtId="199" fontId="10" fillId="0" borderId="0" xfId="0" applyNumberFormat="1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209" fontId="13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 vertical="center"/>
    </xf>
    <xf numFmtId="188" fontId="9" fillId="0" borderId="8" xfId="0" applyNumberFormat="1" applyFont="1" applyBorder="1" applyAlignment="1">
      <alignment horizontal="center" vertical="center"/>
    </xf>
    <xf numFmtId="282" fontId="9" fillId="0" borderId="0" xfId="0" applyNumberFormat="1" applyFont="1" applyBorder="1" applyAlignment="1">
      <alignment horizontal="right" vertical="center"/>
    </xf>
    <xf numFmtId="209" fontId="9" fillId="0" borderId="7" xfId="0" applyNumberFormat="1" applyFont="1" applyBorder="1" applyAlignment="1">
      <alignment horizontal="right" vertical="center"/>
    </xf>
    <xf numFmtId="282" fontId="11" fillId="0" borderId="0" xfId="0" applyNumberFormat="1" applyFont="1" applyBorder="1" applyAlignment="1">
      <alignment horizontal="right" vertical="center"/>
    </xf>
    <xf numFmtId="282" fontId="11" fillId="0" borderId="0" xfId="0" applyNumberFormat="1" applyFont="1" applyBorder="1" applyAlignment="1" quotePrefix="1">
      <alignment horizontal="right" vertical="center"/>
    </xf>
    <xf numFmtId="188" fontId="28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99" fontId="12" fillId="0" borderId="0" xfId="0" applyNumberFormat="1" applyFont="1" applyBorder="1" applyAlignment="1">
      <alignment/>
    </xf>
    <xf numFmtId="199" fontId="10" fillId="0" borderId="7" xfId="0" applyNumberFormat="1" applyFont="1" applyBorder="1" applyAlignment="1">
      <alignment horizontal="left"/>
    </xf>
    <xf numFmtId="199" fontId="9" fillId="0" borderId="0" xfId="0" applyNumberFormat="1" applyFont="1" applyBorder="1" applyAlignment="1">
      <alignment horizontal="right"/>
    </xf>
    <xf numFmtId="199" fontId="11" fillId="0" borderId="0" xfId="0" applyNumberFormat="1" applyFont="1" applyAlignment="1">
      <alignment/>
    </xf>
    <xf numFmtId="199" fontId="9" fillId="0" borderId="7" xfId="0" applyNumberFormat="1" applyFont="1" applyBorder="1" applyAlignment="1">
      <alignment horizontal="left"/>
    </xf>
    <xf numFmtId="19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 quotePrefix="1">
      <alignment horizontal="right"/>
    </xf>
    <xf numFmtId="209" fontId="9" fillId="0" borderId="7" xfId="0" applyNumberFormat="1" applyFont="1" applyBorder="1" applyAlignment="1">
      <alignment horizontal="left"/>
    </xf>
    <xf numFmtId="209" fontId="11" fillId="0" borderId="0" xfId="0" applyNumberFormat="1" applyFont="1" applyBorder="1" applyAlignment="1" quotePrefix="1">
      <alignment horizontal="right"/>
    </xf>
    <xf numFmtId="0" fontId="10" fillId="0" borderId="6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99" fontId="10" fillId="0" borderId="7" xfId="0" applyNumberFormat="1" applyFont="1" applyBorder="1" applyAlignment="1">
      <alignment horizontal="left" vertical="center"/>
    </xf>
    <xf numFmtId="199" fontId="10" fillId="0" borderId="0" xfId="0" applyNumberFormat="1" applyFont="1" applyBorder="1" applyAlignment="1">
      <alignment horizontal="left" vertical="center"/>
    </xf>
    <xf numFmtId="199" fontId="9" fillId="0" borderId="7" xfId="0" applyNumberFormat="1" applyFont="1" applyBorder="1" applyAlignment="1">
      <alignment horizontal="center" vertical="center"/>
    </xf>
    <xf numFmtId="199" fontId="9" fillId="0" borderId="0" xfId="0" applyNumberFormat="1" applyFont="1" applyBorder="1" applyAlignment="1">
      <alignment horizontal="center" vertical="center"/>
    </xf>
    <xf numFmtId="199" fontId="9" fillId="0" borderId="0" xfId="0" applyNumberFormat="1" applyFont="1" applyBorder="1" applyAlignment="1">
      <alignment vertical="center"/>
    </xf>
    <xf numFmtId="199" fontId="9" fillId="0" borderId="0" xfId="0" applyNumberFormat="1" applyFont="1" applyBorder="1" applyAlignment="1">
      <alignment horizontal="left" vertical="center"/>
    </xf>
    <xf numFmtId="199" fontId="9" fillId="0" borderId="0" xfId="0" applyNumberFormat="1" applyFont="1" applyAlignment="1">
      <alignment vertical="center"/>
    </xf>
    <xf numFmtId="199" fontId="10" fillId="0" borderId="6" xfId="0" applyNumberFormat="1" applyFont="1" applyBorder="1" applyAlignment="1">
      <alignment horizontal="left" vertical="center"/>
    </xf>
    <xf numFmtId="209" fontId="13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4" xfId="0" applyFont="1" applyBorder="1" applyAlignment="1" quotePrefix="1">
      <alignment horizontal="center" vertical="top"/>
    </xf>
    <xf numFmtId="282" fontId="9" fillId="0" borderId="0" xfId="17" applyNumberFormat="1" applyFont="1" applyBorder="1" applyAlignment="1">
      <alignment horizontal="right" vertical="center"/>
    </xf>
    <xf numFmtId="282" fontId="9" fillId="0" borderId="0" xfId="0" applyNumberFormat="1" applyFont="1" applyBorder="1" applyAlignment="1" quotePrefix="1">
      <alignment horizontal="right" vertical="center"/>
    </xf>
    <xf numFmtId="210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8" fontId="9" fillId="0" borderId="0" xfId="17" applyNumberFormat="1" applyFont="1" applyBorder="1" applyAlignment="1">
      <alignment horizontal="right" vertical="center"/>
    </xf>
    <xf numFmtId="286" fontId="6" fillId="0" borderId="0" xfId="0" applyNumberFormat="1" applyFont="1" applyAlignment="1">
      <alignment horizontal="right" vertical="center"/>
    </xf>
    <xf numFmtId="217" fontId="11" fillId="0" borderId="0" xfId="0" applyNumberFormat="1" applyFont="1" applyBorder="1" applyAlignment="1" quotePrefix="1">
      <alignment horizontal="right" vertical="center"/>
    </xf>
    <xf numFmtId="0" fontId="0" fillId="0" borderId="4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88" fontId="9" fillId="0" borderId="8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8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209" fontId="9" fillId="0" borderId="0" xfId="0" applyNumberFormat="1" applyFont="1" applyFill="1" applyBorder="1" applyAlignment="1">
      <alignment horizontal="right" vertical="center"/>
    </xf>
    <xf numFmtId="287" fontId="9" fillId="0" borderId="0" xfId="0" applyNumberFormat="1" applyFont="1" applyFill="1" applyBorder="1" applyAlignment="1">
      <alignment horizontal="right" vertical="center"/>
    </xf>
    <xf numFmtId="209" fontId="9" fillId="0" borderId="0" xfId="0" applyNumberFormat="1" applyFont="1" applyFill="1" applyBorder="1" applyAlignment="1" quotePrefix="1">
      <alignment horizontal="right" vertical="center"/>
    </xf>
    <xf numFmtId="209" fontId="9" fillId="0" borderId="8" xfId="0" applyNumberFormat="1" applyFont="1" applyFill="1" applyBorder="1" applyAlignment="1">
      <alignment horizontal="right" vertical="center"/>
    </xf>
    <xf numFmtId="38" fontId="9" fillId="0" borderId="8" xfId="0" applyNumberFormat="1" applyFont="1" applyBorder="1" applyAlignment="1">
      <alignment horizontal="right" vertical="center"/>
    </xf>
    <xf numFmtId="288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209" fontId="9" fillId="0" borderId="8" xfId="0" applyNumberFormat="1" applyFont="1" applyFill="1" applyBorder="1" applyAlignment="1" quotePrefix="1">
      <alignment horizontal="right" vertical="center"/>
    </xf>
    <xf numFmtId="188" fontId="9" fillId="0" borderId="3" xfId="0" applyNumberFormat="1" applyFont="1" applyFill="1" applyBorder="1" applyAlignment="1">
      <alignment horizontal="center" vertical="center"/>
    </xf>
    <xf numFmtId="188" fontId="9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8" fontId="10" fillId="0" borderId="7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287" fontId="9" fillId="0" borderId="0" xfId="17" applyNumberFormat="1" applyFont="1" applyBorder="1" applyAlignment="1">
      <alignment horizontal="right" vertical="center"/>
    </xf>
    <xf numFmtId="188" fontId="9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289" fontId="9" fillId="0" borderId="0" xfId="0" applyNumberFormat="1" applyFont="1" applyBorder="1" applyAlignment="1">
      <alignment horizontal="right" vertical="center"/>
    </xf>
    <xf numFmtId="207" fontId="9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Alignment="1">
      <alignment horizontal="right" vertical="center"/>
    </xf>
    <xf numFmtId="207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209" fontId="9" fillId="0" borderId="0" xfId="0" applyNumberFormat="1" applyFont="1" applyAlignment="1">
      <alignment vertical="center"/>
    </xf>
    <xf numFmtId="207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209" fontId="9" fillId="0" borderId="0" xfId="0" applyNumberFormat="1" applyFont="1" applyFill="1" applyBorder="1" applyAlignment="1">
      <alignment/>
    </xf>
    <xf numFmtId="0" fontId="11" fillId="0" borderId="0" xfId="0" applyFont="1" applyBorder="1" applyAlignment="1" quotePrefix="1">
      <alignment horizontal="left"/>
    </xf>
    <xf numFmtId="201" fontId="9" fillId="0" borderId="0" xfId="0" applyNumberFormat="1" applyFont="1" applyAlignment="1">
      <alignment/>
    </xf>
    <xf numFmtId="199" fontId="9" fillId="0" borderId="0" xfId="0" applyNumberFormat="1" applyFont="1" applyAlignment="1">
      <alignment horizontal="right"/>
    </xf>
    <xf numFmtId="201" fontId="9" fillId="0" borderId="0" xfId="0" applyNumberFormat="1" applyFont="1" applyBorder="1" applyAlignment="1">
      <alignment/>
    </xf>
    <xf numFmtId="0" fontId="26" fillId="0" borderId="0" xfId="0" applyFont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09" fontId="9" fillId="0" borderId="8" xfId="0" applyNumberFormat="1" applyFont="1" applyBorder="1" applyAlignment="1" quotePrefix="1">
      <alignment horizontal="right" vertical="center"/>
    </xf>
    <xf numFmtId="209" fontId="0" fillId="0" borderId="5" xfId="0" applyNumberFormat="1" applyBorder="1" applyAlignment="1">
      <alignment vertical="center"/>
    </xf>
    <xf numFmtId="209" fontId="0" fillId="0" borderId="6" xfId="0" applyNumberFormat="1" applyBorder="1" applyAlignment="1">
      <alignment vertical="center"/>
    </xf>
    <xf numFmtId="209" fontId="9" fillId="0" borderId="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4" xfId="0" applyFont="1" applyBorder="1" applyAlignment="1" quotePrefix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/>
    </xf>
    <xf numFmtId="180" fontId="9" fillId="0" borderId="8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180" fontId="9" fillId="0" borderId="0" xfId="0" applyNumberFormat="1" applyFont="1" applyAlignment="1">
      <alignment/>
    </xf>
    <xf numFmtId="180" fontId="9" fillId="0" borderId="0" xfId="0" applyNumberFormat="1" applyFont="1" applyBorder="1" applyAlignment="1" quotePrefix="1">
      <alignment horizontal="right"/>
    </xf>
    <xf numFmtId="180" fontId="9" fillId="0" borderId="0" xfId="0" applyNumberFormat="1" applyFont="1" applyAlignment="1" quotePrefix="1">
      <alignment horizontal="right"/>
    </xf>
    <xf numFmtId="0" fontId="12" fillId="0" borderId="6" xfId="0" applyFont="1" applyBorder="1" applyAlignment="1">
      <alignment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6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180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180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right"/>
    </xf>
    <xf numFmtId="0" fontId="0" fillId="0" borderId="7" xfId="0" applyBorder="1" applyAlignment="1">
      <alignment/>
    </xf>
    <xf numFmtId="0" fontId="10" fillId="0" borderId="6" xfId="0" applyFont="1" applyBorder="1" applyAlignment="1">
      <alignment horizontal="left"/>
    </xf>
    <xf numFmtId="0" fontId="0" fillId="0" borderId="4" xfId="0" applyBorder="1" applyAlignment="1">
      <alignment/>
    </xf>
    <xf numFmtId="178" fontId="9" fillId="0" borderId="3" xfId="0" applyNumberFormat="1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201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8" fontId="9" fillId="0" borderId="6" xfId="0" applyNumberFormat="1" applyFont="1" applyBorder="1" applyAlignment="1">
      <alignment vertical="center"/>
    </xf>
    <xf numFmtId="0" fontId="26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left" vertical="center"/>
    </xf>
    <xf numFmtId="0" fontId="12" fillId="0" borderId="5" xfId="0" applyFont="1" applyBorder="1" applyAlignment="1">
      <alignment horizontal="center"/>
    </xf>
    <xf numFmtId="178" fontId="9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11" fillId="0" borderId="8" xfId="0" applyFont="1" applyBorder="1" applyAlignment="1">
      <alignment horizontal="center"/>
    </xf>
    <xf numFmtId="178" fontId="9" fillId="0" borderId="0" xfId="0" applyNumberFormat="1" applyFont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209" fontId="9" fillId="0" borderId="5" xfId="0" applyNumberFormat="1" applyFont="1" applyBorder="1" applyAlignment="1">
      <alignment horizontal="right" vertical="center"/>
    </xf>
    <xf numFmtId="209" fontId="9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178" fontId="9" fillId="0" borderId="8" xfId="0" applyNumberFormat="1" applyFont="1" applyBorder="1" applyAlignment="1">
      <alignment horizontal="center" vertical="center"/>
    </xf>
    <xf numFmtId="217" fontId="9" fillId="0" borderId="8" xfId="0" applyNumberFormat="1" applyFont="1" applyBorder="1" applyAlignment="1">
      <alignment horizontal="right" vertical="center"/>
    </xf>
    <xf numFmtId="217" fontId="9" fillId="0" borderId="0" xfId="0" applyNumberFormat="1" applyFont="1" applyAlignment="1">
      <alignment horizontal="right" vertical="center"/>
    </xf>
    <xf numFmtId="217" fontId="9" fillId="0" borderId="0" xfId="0" applyNumberFormat="1" applyFont="1" applyBorder="1" applyAlignment="1">
      <alignment horizontal="right" vertical="center"/>
    </xf>
    <xf numFmtId="290" fontId="9" fillId="0" borderId="8" xfId="0" applyNumberFormat="1" applyFont="1" applyBorder="1" applyAlignment="1">
      <alignment horizontal="right" vertical="center"/>
    </xf>
    <xf numFmtId="290" fontId="9" fillId="0" borderId="0" xfId="0" applyNumberFormat="1" applyFont="1" applyAlignment="1">
      <alignment horizontal="right" vertical="center"/>
    </xf>
    <xf numFmtId="290" fontId="9" fillId="0" borderId="0" xfId="0" applyNumberFormat="1" applyFont="1" applyBorder="1" applyAlignment="1">
      <alignment horizontal="right" vertical="center"/>
    </xf>
    <xf numFmtId="291" fontId="9" fillId="0" borderId="8" xfId="17" applyNumberFormat="1" applyFont="1" applyBorder="1" applyAlignment="1">
      <alignment horizontal="right" vertical="center"/>
    </xf>
    <xf numFmtId="291" fontId="9" fillId="0" borderId="0" xfId="17" applyNumberFormat="1" applyFont="1" applyAlignment="1">
      <alignment horizontal="right" vertical="center"/>
    </xf>
    <xf numFmtId="291" fontId="9" fillId="0" borderId="0" xfId="17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 vertical="center"/>
    </xf>
    <xf numFmtId="216" fontId="9" fillId="0" borderId="8" xfId="0" applyNumberFormat="1" applyFont="1" applyBorder="1" applyAlignment="1">
      <alignment vertical="center"/>
    </xf>
    <xf numFmtId="216" fontId="9" fillId="0" borderId="0" xfId="0" applyNumberFormat="1" applyFont="1" applyAlignment="1">
      <alignment vertical="center"/>
    </xf>
    <xf numFmtId="216" fontId="9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216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92" fontId="9" fillId="0" borderId="8" xfId="0" applyNumberFormat="1" applyFont="1" applyBorder="1" applyAlignment="1">
      <alignment vertical="center"/>
    </xf>
    <xf numFmtId="292" fontId="9" fillId="0" borderId="0" xfId="0" applyNumberFormat="1" applyFont="1" applyAlignment="1">
      <alignment vertical="center"/>
    </xf>
    <xf numFmtId="292" fontId="9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 quotePrefix="1">
      <alignment horizontal="left"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99" fontId="9" fillId="0" borderId="0" xfId="0" applyNumberFormat="1" applyFont="1" applyFill="1" applyBorder="1" applyAlignment="1">
      <alignment horizontal="right"/>
    </xf>
    <xf numFmtId="287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283" fontId="9" fillId="0" borderId="0" xfId="0" applyNumberFormat="1" applyFont="1" applyBorder="1" applyAlignment="1">
      <alignment horizontal="right"/>
    </xf>
    <xf numFmtId="188" fontId="9" fillId="0" borderId="0" xfId="0" applyNumberFormat="1" applyFont="1" applyAlignment="1">
      <alignment horizontal="right"/>
    </xf>
    <xf numFmtId="0" fontId="14" fillId="0" borderId="0" xfId="0" applyFont="1" applyAlignment="1" quotePrefix="1">
      <alignment horizontal="left"/>
    </xf>
    <xf numFmtId="0" fontId="24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24" fillId="0" borderId="0" xfId="0" applyFont="1" applyAlignment="1">
      <alignment/>
    </xf>
    <xf numFmtId="209" fontId="9" fillId="0" borderId="8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6" fillId="0" borderId="7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2" fillId="0" borderId="1" xfId="0" applyFont="1" applyBorder="1" applyAlignment="1">
      <alignment/>
    </xf>
    <xf numFmtId="3" fontId="9" fillId="0" borderId="0" xfId="0" applyNumberFormat="1" applyFont="1" applyAlignment="1" applyProtection="1">
      <alignment horizontal="right" vertical="center"/>
      <protection hidden="1"/>
    </xf>
    <xf numFmtId="210" fontId="9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209" fontId="9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quotePrefix="1">
      <alignment horizontal="left"/>
    </xf>
    <xf numFmtId="188" fontId="9" fillId="0" borderId="0" xfId="0" applyNumberFormat="1" applyFont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210" fontId="10" fillId="0" borderId="0" xfId="0" applyNumberFormat="1" applyFont="1" applyBorder="1" applyAlignment="1">
      <alignment horizontal="right" vertical="center"/>
    </xf>
    <xf numFmtId="210" fontId="9" fillId="0" borderId="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</cellXfs>
  <cellStyles count="9">
    <cellStyle name="Normal" xfId="0"/>
    <cellStyle name="new" xfId="15"/>
    <cellStyle name="一般_Book2" xfId="16"/>
    <cellStyle name="Comma" xfId="17"/>
    <cellStyle name="Comma [0]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9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5.50390625" style="23" customWidth="1"/>
    <col min="2" max="8" width="8.625" style="24" customWidth="1"/>
    <col min="9" max="9" width="8.625" style="23" customWidth="1"/>
    <col min="10" max="16384" width="9.00390625" style="24" customWidth="1"/>
  </cols>
  <sheetData>
    <row r="1" spans="1:9" s="3" customFormat="1" ht="18.75" customHeight="1">
      <c r="A1" s="1" t="s">
        <v>298</v>
      </c>
      <c r="B1" s="2"/>
      <c r="E1" s="2"/>
      <c r="I1" s="2"/>
    </row>
    <row r="2" spans="1:9" s="3" customFormat="1" ht="15" customHeight="1">
      <c r="A2" s="4"/>
      <c r="B2" s="2"/>
      <c r="E2" s="2"/>
      <c r="I2" s="2"/>
    </row>
    <row r="3" spans="1:9" s="3" customFormat="1" ht="15" customHeight="1">
      <c r="A3" s="4"/>
      <c r="B3" s="2"/>
      <c r="E3" s="2"/>
      <c r="I3" s="2"/>
    </row>
    <row r="4" spans="1:9" s="3" customFormat="1" ht="15" customHeight="1">
      <c r="A4" s="5" t="s">
        <v>299</v>
      </c>
      <c r="B4" s="2"/>
      <c r="E4" s="2"/>
      <c r="I4" s="2"/>
    </row>
    <row r="5" spans="1:9" s="3" customFormat="1" ht="15" customHeight="1">
      <c r="A5" s="2"/>
      <c r="B5" s="2"/>
      <c r="E5" s="2"/>
      <c r="I5" s="6" t="s">
        <v>300</v>
      </c>
    </row>
    <row r="6" spans="1:9" s="3" customFormat="1" ht="2.25" customHeight="1">
      <c r="A6" s="7"/>
      <c r="B6" s="8"/>
      <c r="C6" s="9"/>
      <c r="D6" s="9"/>
      <c r="E6" s="8"/>
      <c r="F6" s="9"/>
      <c r="G6" s="9"/>
      <c r="H6" s="9"/>
      <c r="I6" s="8"/>
    </row>
    <row r="7" spans="1:9" s="14" customFormat="1" ht="16.5" customHeight="1">
      <c r="A7" s="10"/>
      <c r="B7" s="566">
        <v>1998</v>
      </c>
      <c r="C7" s="568">
        <v>1999</v>
      </c>
      <c r="D7" s="570">
        <v>2000</v>
      </c>
      <c r="E7" s="12">
        <v>2000</v>
      </c>
      <c r="F7" s="12">
        <v>2000</v>
      </c>
      <c r="G7" s="12">
        <v>2000</v>
      </c>
      <c r="H7" s="12">
        <v>2001</v>
      </c>
      <c r="I7" s="12">
        <v>2001</v>
      </c>
    </row>
    <row r="8" spans="1:9" s="14" customFormat="1" ht="16.5" customHeight="1">
      <c r="A8" s="15"/>
      <c r="B8" s="567"/>
      <c r="C8" s="569"/>
      <c r="D8" s="571"/>
      <c r="E8" s="19" t="s">
        <v>301</v>
      </c>
      <c r="F8" s="19" t="s">
        <v>302</v>
      </c>
      <c r="G8" s="19" t="s">
        <v>303</v>
      </c>
      <c r="H8" s="19" t="s">
        <v>304</v>
      </c>
      <c r="I8" s="20" t="s">
        <v>301</v>
      </c>
    </row>
    <row r="9" spans="1:8" ht="9.75" customHeight="1">
      <c r="A9" s="21"/>
      <c r="B9" s="22"/>
      <c r="C9" s="23"/>
      <c r="D9" s="23"/>
      <c r="E9" s="23"/>
      <c r="F9" s="23"/>
      <c r="G9" s="23"/>
      <c r="H9" s="23"/>
    </row>
    <row r="10" spans="1:8" ht="16.5" customHeight="1">
      <c r="A10" s="25" t="s">
        <v>305</v>
      </c>
      <c r="B10" s="22"/>
      <c r="C10" s="23"/>
      <c r="D10" s="23"/>
      <c r="E10" s="23"/>
      <c r="F10" s="23"/>
      <c r="G10" s="23"/>
      <c r="H10" s="23"/>
    </row>
    <row r="11" spans="1:9" ht="16.5" customHeight="1">
      <c r="A11" s="26" t="s">
        <v>306</v>
      </c>
      <c r="B11" s="27">
        <v>4.4</v>
      </c>
      <c r="C11" s="27">
        <v>4.2</v>
      </c>
      <c r="D11" s="27">
        <v>5</v>
      </c>
      <c r="E11" s="27">
        <v>5.2</v>
      </c>
      <c r="F11" s="27">
        <v>4.4</v>
      </c>
      <c r="G11" s="27">
        <v>2.8</v>
      </c>
      <c r="H11" s="27">
        <v>2.5</v>
      </c>
      <c r="I11" s="27">
        <v>1.2</v>
      </c>
    </row>
    <row r="12" spans="1:9" ht="16.5" customHeight="1">
      <c r="A12" s="28" t="s">
        <v>307</v>
      </c>
      <c r="B12" s="27">
        <v>-1</v>
      </c>
      <c r="C12" s="27">
        <v>2</v>
      </c>
      <c r="D12" s="27">
        <v>12.4</v>
      </c>
      <c r="E12" s="27">
        <v>14.2</v>
      </c>
      <c r="F12" s="27">
        <v>15.2</v>
      </c>
      <c r="G12" s="27">
        <v>7.8</v>
      </c>
      <c r="H12" s="27">
        <v>4.4</v>
      </c>
      <c r="I12" s="27">
        <v>-2.8</v>
      </c>
    </row>
    <row r="13" spans="1:9" ht="16.5" customHeight="1">
      <c r="A13" s="28" t="s">
        <v>308</v>
      </c>
      <c r="B13" s="27">
        <v>4.9</v>
      </c>
      <c r="C13" s="27">
        <v>12.4</v>
      </c>
      <c r="D13" s="27">
        <v>18.9</v>
      </c>
      <c r="E13" s="27">
        <v>20.9</v>
      </c>
      <c r="F13" s="27">
        <v>18.6</v>
      </c>
      <c r="G13" s="27">
        <v>14.1</v>
      </c>
      <c r="H13" s="27">
        <v>4.9</v>
      </c>
      <c r="I13" s="27">
        <v>-3.6</v>
      </c>
    </row>
    <row r="14" spans="1:9" ht="16.5" customHeight="1">
      <c r="A14" s="26" t="s">
        <v>309</v>
      </c>
      <c r="B14" s="27">
        <v>1.6</v>
      </c>
      <c r="C14" s="27">
        <v>2.2</v>
      </c>
      <c r="D14" s="27">
        <v>3.4</v>
      </c>
      <c r="E14" s="27">
        <v>3.3</v>
      </c>
      <c r="F14" s="27">
        <v>3.5</v>
      </c>
      <c r="G14" s="27">
        <v>3.4</v>
      </c>
      <c r="H14" s="27">
        <v>3.4</v>
      </c>
      <c r="I14" s="27">
        <v>3.4</v>
      </c>
    </row>
    <row r="15" spans="1:9" ht="16.5" customHeight="1">
      <c r="A15" s="26" t="s">
        <v>310</v>
      </c>
      <c r="B15" s="27">
        <v>4.5</v>
      </c>
      <c r="C15" s="27">
        <v>4.2</v>
      </c>
      <c r="D15" s="27">
        <v>4</v>
      </c>
      <c r="E15" s="27">
        <v>4</v>
      </c>
      <c r="F15" s="27">
        <v>4</v>
      </c>
      <c r="G15" s="27">
        <v>4</v>
      </c>
      <c r="H15" s="27">
        <v>4.2</v>
      </c>
      <c r="I15" s="27">
        <v>4.5</v>
      </c>
    </row>
    <row r="16" spans="1:9" ht="7.5" customHeight="1">
      <c r="A16" s="26"/>
      <c r="B16" s="29"/>
      <c r="C16" s="30"/>
      <c r="D16" s="30"/>
      <c r="E16" s="30"/>
      <c r="F16" s="30"/>
      <c r="G16" s="30"/>
      <c r="H16" s="30"/>
      <c r="I16" s="30"/>
    </row>
    <row r="17" spans="1:9" ht="16.5" customHeight="1">
      <c r="A17" s="25" t="s">
        <v>311</v>
      </c>
      <c r="B17" s="29"/>
      <c r="C17" s="30"/>
      <c r="D17" s="30"/>
      <c r="E17" s="30"/>
      <c r="F17" s="30"/>
      <c r="G17" s="30"/>
      <c r="H17" s="30"/>
      <c r="I17" s="30"/>
    </row>
    <row r="18" spans="1:9" ht="16.5" customHeight="1">
      <c r="A18" s="28" t="s">
        <v>306</v>
      </c>
      <c r="B18" s="27">
        <v>-1.1</v>
      </c>
      <c r="C18" s="27">
        <v>0.8</v>
      </c>
      <c r="D18" s="27">
        <v>1.7</v>
      </c>
      <c r="E18" s="27">
        <v>1.3</v>
      </c>
      <c r="F18" s="27">
        <v>0.6</v>
      </c>
      <c r="G18" s="27">
        <v>2.3</v>
      </c>
      <c r="H18" s="27">
        <v>0</v>
      </c>
      <c r="I18" s="27">
        <v>-3.2</v>
      </c>
    </row>
    <row r="19" spans="1:9" ht="16.5" customHeight="1">
      <c r="A19" s="28" t="s">
        <v>307</v>
      </c>
      <c r="B19" s="27">
        <v>-0.6</v>
      </c>
      <c r="C19" s="27">
        <v>-6.1</v>
      </c>
      <c r="D19" s="27">
        <v>8.6</v>
      </c>
      <c r="E19" s="27">
        <v>9</v>
      </c>
      <c r="F19" s="27">
        <v>7.9</v>
      </c>
      <c r="G19" s="27">
        <v>8.9</v>
      </c>
      <c r="H19" s="27">
        <v>3.2</v>
      </c>
      <c r="I19" s="27">
        <v>-3.4</v>
      </c>
    </row>
    <row r="20" spans="1:9" ht="16.5" customHeight="1">
      <c r="A20" s="28" t="s">
        <v>308</v>
      </c>
      <c r="B20" s="27">
        <v>-10.5</v>
      </c>
      <c r="C20" s="27">
        <v>-3.8</v>
      </c>
      <c r="D20" s="27">
        <v>16.1</v>
      </c>
      <c r="E20" s="27">
        <v>13.4</v>
      </c>
      <c r="F20" s="27">
        <v>15.5</v>
      </c>
      <c r="G20" s="27">
        <v>20.8</v>
      </c>
      <c r="H20" s="27">
        <v>16.1</v>
      </c>
      <c r="I20" s="27">
        <v>10</v>
      </c>
    </row>
    <row r="21" spans="1:9" ht="16.5" customHeight="1">
      <c r="A21" s="26" t="s">
        <v>309</v>
      </c>
      <c r="B21" s="27">
        <v>0.6</v>
      </c>
      <c r="C21" s="27">
        <v>-0.3</v>
      </c>
      <c r="D21" s="27">
        <v>-0.7</v>
      </c>
      <c r="E21" s="27">
        <v>-0.7</v>
      </c>
      <c r="F21" s="27">
        <v>-0.7</v>
      </c>
      <c r="G21" s="27">
        <v>-0.5</v>
      </c>
      <c r="H21" s="27">
        <v>-0.1</v>
      </c>
      <c r="I21" s="27">
        <v>-0.5</v>
      </c>
    </row>
    <row r="22" spans="1:9" ht="16.5" customHeight="1">
      <c r="A22" s="26" t="s">
        <v>310</v>
      </c>
      <c r="B22" s="27">
        <v>4.1</v>
      </c>
      <c r="C22" s="27">
        <v>4.7</v>
      </c>
      <c r="D22" s="27">
        <v>4.7</v>
      </c>
      <c r="E22" s="27">
        <v>4.7</v>
      </c>
      <c r="F22" s="27">
        <v>4.6</v>
      </c>
      <c r="G22" s="27">
        <v>4.8</v>
      </c>
      <c r="H22" s="27">
        <v>4.7</v>
      </c>
      <c r="I22" s="27">
        <v>4.9</v>
      </c>
    </row>
    <row r="23" spans="1:9" ht="7.5" customHeight="1">
      <c r="A23" s="31"/>
      <c r="B23" s="29"/>
      <c r="C23" s="30"/>
      <c r="D23" s="30"/>
      <c r="E23" s="30"/>
      <c r="F23" s="30"/>
      <c r="G23" s="30"/>
      <c r="H23" s="30"/>
      <c r="I23" s="30"/>
    </row>
    <row r="24" spans="1:9" ht="16.5" customHeight="1">
      <c r="A24" s="25" t="s">
        <v>312</v>
      </c>
      <c r="B24" s="29"/>
      <c r="C24" s="30"/>
      <c r="D24" s="30"/>
      <c r="E24" s="30"/>
      <c r="F24" s="30"/>
      <c r="G24" s="30"/>
      <c r="H24" s="30"/>
      <c r="I24" s="30"/>
    </row>
    <row r="25" spans="1:9" ht="16.5" customHeight="1">
      <c r="A25" s="26" t="s">
        <v>313</v>
      </c>
      <c r="B25" s="27">
        <v>2.9</v>
      </c>
      <c r="C25" s="27">
        <v>2.5</v>
      </c>
      <c r="D25" s="27">
        <v>3.4</v>
      </c>
      <c r="E25" s="27">
        <v>3.9</v>
      </c>
      <c r="F25" s="27">
        <v>3.3</v>
      </c>
      <c r="G25" s="27">
        <v>2.9</v>
      </c>
      <c r="H25" s="27">
        <v>2.4</v>
      </c>
      <c r="I25" s="27">
        <v>1.7</v>
      </c>
    </row>
    <row r="26" spans="1:9" ht="16.5" customHeight="1">
      <c r="A26" s="28" t="s">
        <v>307</v>
      </c>
      <c r="B26" s="27">
        <v>4.5</v>
      </c>
      <c r="C26" s="27">
        <v>4.4</v>
      </c>
      <c r="D26" s="27">
        <v>20.8</v>
      </c>
      <c r="E26" s="27">
        <v>21.8</v>
      </c>
      <c r="F26" s="27">
        <v>19.4</v>
      </c>
      <c r="G26" s="27">
        <v>19.5</v>
      </c>
      <c r="H26" s="27">
        <v>11.9</v>
      </c>
      <c r="I26" s="27">
        <v>6</v>
      </c>
    </row>
    <row r="27" spans="1:9" ht="16.5" customHeight="1">
      <c r="A27" s="28" t="s">
        <v>308</v>
      </c>
      <c r="B27" s="27">
        <v>5.5</v>
      </c>
      <c r="C27" s="27">
        <v>9.7</v>
      </c>
      <c r="D27" s="27">
        <v>27.8</v>
      </c>
      <c r="E27" s="27">
        <v>28.5</v>
      </c>
      <c r="F27" s="27">
        <v>26.6</v>
      </c>
      <c r="G27" s="27">
        <v>25.2</v>
      </c>
      <c r="H27" s="27">
        <v>11.7</v>
      </c>
      <c r="I27" s="27">
        <v>5.7</v>
      </c>
    </row>
    <row r="28" spans="1:9" ht="16.5" customHeight="1">
      <c r="A28" s="28" t="s">
        <v>314</v>
      </c>
      <c r="B28" s="27">
        <v>1.1</v>
      </c>
      <c r="C28" s="27">
        <v>1.1</v>
      </c>
      <c r="D28" s="27">
        <v>2.3</v>
      </c>
      <c r="E28" s="27">
        <v>2.1</v>
      </c>
      <c r="F28" s="27">
        <v>2.5</v>
      </c>
      <c r="G28" s="27">
        <v>2.7</v>
      </c>
      <c r="H28" s="27">
        <v>2.5</v>
      </c>
      <c r="I28" s="27">
        <v>3.1</v>
      </c>
    </row>
    <row r="29" spans="1:9" ht="16.5" customHeight="1">
      <c r="A29" s="26" t="s">
        <v>310</v>
      </c>
      <c r="B29" s="27">
        <v>10.9</v>
      </c>
      <c r="C29" s="27">
        <v>10</v>
      </c>
      <c r="D29" s="27">
        <v>8.9</v>
      </c>
      <c r="E29" s="27">
        <v>9.2</v>
      </c>
      <c r="F29" s="27">
        <v>8.8</v>
      </c>
      <c r="G29" s="27">
        <v>8.6</v>
      </c>
      <c r="H29" s="27">
        <v>8.4</v>
      </c>
      <c r="I29" s="27">
        <v>8.3</v>
      </c>
    </row>
    <row r="30" spans="1:9" ht="7.5" customHeight="1">
      <c r="A30" s="31"/>
      <c r="B30" s="29"/>
      <c r="C30" s="30"/>
      <c r="D30" s="30"/>
      <c r="E30" s="30"/>
      <c r="F30" s="30"/>
      <c r="G30" s="30"/>
      <c r="H30" s="30"/>
      <c r="I30" s="30"/>
    </row>
    <row r="31" spans="1:9" ht="16.5" customHeight="1">
      <c r="A31" s="25" t="s">
        <v>315</v>
      </c>
      <c r="B31" s="29"/>
      <c r="C31" s="30"/>
      <c r="D31" s="30"/>
      <c r="E31" s="30"/>
      <c r="F31" s="30"/>
      <c r="G31" s="30"/>
      <c r="H31" s="30"/>
      <c r="I31" s="30"/>
    </row>
    <row r="32" spans="1:9" ht="16.5" customHeight="1">
      <c r="A32" s="28" t="s">
        <v>306</v>
      </c>
      <c r="B32" s="27">
        <v>7.8</v>
      </c>
      <c r="C32" s="27">
        <v>7.1</v>
      </c>
      <c r="D32" s="27">
        <v>8</v>
      </c>
      <c r="E32" s="27">
        <v>8.3</v>
      </c>
      <c r="F32" s="27">
        <v>8.2</v>
      </c>
      <c r="G32" s="27">
        <v>7.3</v>
      </c>
      <c r="H32" s="27">
        <v>8.1</v>
      </c>
      <c r="I32" s="27">
        <v>7.9</v>
      </c>
    </row>
    <row r="33" spans="1:9" ht="16.5" customHeight="1">
      <c r="A33" s="28" t="s">
        <v>307</v>
      </c>
      <c r="B33" s="27">
        <v>0.5</v>
      </c>
      <c r="C33" s="27">
        <v>6.1</v>
      </c>
      <c r="D33" s="27">
        <v>27.8</v>
      </c>
      <c r="E33" s="27">
        <v>37.6</v>
      </c>
      <c r="F33" s="27">
        <v>25.2</v>
      </c>
      <c r="G33" s="27">
        <v>15.3</v>
      </c>
      <c r="H33" s="27">
        <v>14.7</v>
      </c>
      <c r="I33" s="27">
        <v>4</v>
      </c>
    </row>
    <row r="34" spans="1:9" ht="16.5" customHeight="1">
      <c r="A34" s="28" t="s">
        <v>308</v>
      </c>
      <c r="B34" s="27">
        <v>-1.6</v>
      </c>
      <c r="C34" s="27">
        <v>18.2</v>
      </c>
      <c r="D34" s="27">
        <v>35.8</v>
      </c>
      <c r="E34" s="27">
        <v>32.4</v>
      </c>
      <c r="F34" s="27">
        <v>43.1</v>
      </c>
      <c r="G34" s="27">
        <v>28.7</v>
      </c>
      <c r="H34" s="27">
        <v>17.3</v>
      </c>
      <c r="I34" s="27">
        <v>11.3</v>
      </c>
    </row>
    <row r="35" spans="1:9" ht="16.5" customHeight="1">
      <c r="A35" s="28" t="s">
        <v>316</v>
      </c>
      <c r="B35" s="27">
        <v>-0.8</v>
      </c>
      <c r="C35" s="27">
        <v>-1.4</v>
      </c>
      <c r="D35" s="27">
        <v>0.4</v>
      </c>
      <c r="E35" s="27">
        <v>0.1</v>
      </c>
      <c r="F35" s="27">
        <v>0.2</v>
      </c>
      <c r="G35" s="27">
        <v>0.4</v>
      </c>
      <c r="H35" s="27">
        <v>0.7</v>
      </c>
      <c r="I35" s="27">
        <v>1.1</v>
      </c>
    </row>
    <row r="36" spans="1:9" ht="7.5" customHeight="1">
      <c r="A36" s="31"/>
      <c r="B36" s="29"/>
      <c r="C36" s="30"/>
      <c r="D36" s="30"/>
      <c r="E36" s="30"/>
      <c r="F36" s="30"/>
      <c r="G36" s="30"/>
      <c r="H36" s="30"/>
      <c r="I36" s="30"/>
    </row>
    <row r="37" spans="1:9" ht="16.5" customHeight="1">
      <c r="A37" s="25" t="s">
        <v>317</v>
      </c>
      <c r="B37" s="29"/>
      <c r="C37" s="30"/>
      <c r="D37" s="30"/>
      <c r="E37" s="30"/>
      <c r="F37" s="30"/>
      <c r="G37" s="30"/>
      <c r="H37" s="30"/>
      <c r="I37" s="30"/>
    </row>
    <row r="38" spans="1:9" ht="16.5" customHeight="1">
      <c r="A38" s="28" t="s">
        <v>306</v>
      </c>
      <c r="B38" s="27">
        <v>-5.3</v>
      </c>
      <c r="C38" s="27">
        <v>3</v>
      </c>
      <c r="D38" s="27">
        <v>10.5</v>
      </c>
      <c r="E38" s="27">
        <v>10.7</v>
      </c>
      <c r="F38" s="27">
        <v>10.8</v>
      </c>
      <c r="G38" s="27">
        <v>7</v>
      </c>
      <c r="H38" s="27">
        <v>2.3</v>
      </c>
      <c r="I38" s="27">
        <v>0.5</v>
      </c>
    </row>
    <row r="39" spans="1:9" ht="16.5" customHeight="1">
      <c r="A39" s="28" t="s">
        <v>307</v>
      </c>
      <c r="B39" s="27">
        <v>-7.4</v>
      </c>
      <c r="C39" s="27">
        <v>0.1</v>
      </c>
      <c r="D39" s="27">
        <v>16.6</v>
      </c>
      <c r="E39" s="27">
        <v>17.3</v>
      </c>
      <c r="F39" s="27">
        <v>17.6</v>
      </c>
      <c r="G39" s="27">
        <v>12.3</v>
      </c>
      <c r="H39" s="27">
        <v>2.2</v>
      </c>
      <c r="I39" s="27">
        <v>-4.8</v>
      </c>
    </row>
    <row r="40" spans="1:9" ht="16.5" customHeight="1">
      <c r="A40" s="28" t="s">
        <v>308</v>
      </c>
      <c r="B40" s="27">
        <v>-11.5</v>
      </c>
      <c r="C40" s="27">
        <v>-2.5</v>
      </c>
      <c r="D40" s="27">
        <v>19</v>
      </c>
      <c r="E40" s="27">
        <v>20.4</v>
      </c>
      <c r="F40" s="27">
        <v>20</v>
      </c>
      <c r="G40" s="27">
        <v>14.2</v>
      </c>
      <c r="H40" s="27">
        <v>3.6</v>
      </c>
      <c r="I40" s="27">
        <v>-3.4</v>
      </c>
    </row>
    <row r="41" spans="1:9" ht="16.5" customHeight="1">
      <c r="A41" s="26" t="s">
        <v>309</v>
      </c>
      <c r="B41" s="27">
        <v>2.8</v>
      </c>
      <c r="C41" s="27">
        <v>-4</v>
      </c>
      <c r="D41" s="27">
        <v>-3.8</v>
      </c>
      <c r="E41" s="27">
        <v>-4.5</v>
      </c>
      <c r="F41" s="27">
        <v>-2.8</v>
      </c>
      <c r="G41" s="27">
        <v>-2.5</v>
      </c>
      <c r="H41" s="27">
        <v>1.9</v>
      </c>
      <c r="I41" s="27">
        <v>-1.3</v>
      </c>
    </row>
    <row r="42" spans="1:9" ht="16.5" customHeight="1">
      <c r="A42" s="26" t="s">
        <v>310</v>
      </c>
      <c r="B42" s="27">
        <v>4.7</v>
      </c>
      <c r="C42" s="27">
        <v>6.3</v>
      </c>
      <c r="D42" s="27">
        <v>5</v>
      </c>
      <c r="E42" s="27">
        <v>5.1</v>
      </c>
      <c r="F42" s="27">
        <v>4.9</v>
      </c>
      <c r="G42" s="27">
        <v>4.4</v>
      </c>
      <c r="H42" s="27">
        <v>4.6</v>
      </c>
      <c r="I42" s="27">
        <v>4.6</v>
      </c>
    </row>
    <row r="43" spans="1:9" ht="9.75" customHeight="1">
      <c r="A43" s="32"/>
      <c r="B43" s="33"/>
      <c r="C43" s="34"/>
      <c r="D43" s="34"/>
      <c r="E43" s="34"/>
      <c r="F43" s="34"/>
      <c r="G43" s="34"/>
      <c r="H43" s="34"/>
      <c r="I43" s="34"/>
    </row>
    <row r="44" ht="16.5">
      <c r="A44" s="35" t="s">
        <v>318</v>
      </c>
    </row>
    <row r="45" ht="16.5">
      <c r="A45" s="36" t="s">
        <v>319</v>
      </c>
    </row>
    <row r="46" ht="16.5">
      <c r="A46" s="36" t="s">
        <v>320</v>
      </c>
    </row>
    <row r="47" ht="16.5">
      <c r="A47" s="36" t="s">
        <v>321</v>
      </c>
    </row>
    <row r="48" ht="16.5">
      <c r="A48" s="36" t="s">
        <v>322</v>
      </c>
    </row>
    <row r="49" ht="16.5">
      <c r="A49" s="36" t="s">
        <v>323</v>
      </c>
    </row>
  </sheetData>
  <mergeCells count="3"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5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1.375" style="23" customWidth="1"/>
    <col min="2" max="9" width="9.125" style="24" customWidth="1"/>
    <col min="10" max="10" width="9.125" style="23" customWidth="1"/>
    <col min="11" max="16384" width="9.00390625" style="24" customWidth="1"/>
  </cols>
  <sheetData>
    <row r="1" spans="1:10" s="3" customFormat="1" ht="15" customHeight="1">
      <c r="A1" s="4" t="s">
        <v>587</v>
      </c>
      <c r="B1" s="2"/>
      <c r="F1" s="2"/>
      <c r="J1" s="2"/>
    </row>
    <row r="2" spans="1:10" s="3" customFormat="1" ht="15" customHeight="1">
      <c r="A2" s="4"/>
      <c r="B2" s="2"/>
      <c r="F2" s="2"/>
      <c r="J2" s="2"/>
    </row>
    <row r="4" spans="1:10" ht="16.5">
      <c r="A4" s="5" t="s">
        <v>588</v>
      </c>
      <c r="B4" s="2"/>
      <c r="C4" s="3"/>
      <c r="D4" s="3"/>
      <c r="E4" s="3"/>
      <c r="F4" s="2"/>
      <c r="G4" s="3"/>
      <c r="H4" s="3"/>
      <c r="I4" s="3"/>
      <c r="J4" s="2"/>
    </row>
    <row r="5" spans="1:10" ht="16.5" customHeight="1">
      <c r="A5" s="7"/>
      <c r="B5" s="8"/>
      <c r="C5" s="9"/>
      <c r="D5" s="9"/>
      <c r="E5" s="9"/>
      <c r="F5" s="8"/>
      <c r="G5" s="9"/>
      <c r="H5" s="9"/>
      <c r="I5" s="9"/>
      <c r="J5" s="231" t="s">
        <v>589</v>
      </c>
    </row>
    <row r="6" spans="1:10" ht="15" customHeight="1">
      <c r="A6" s="132"/>
      <c r="B6" s="566">
        <v>1998</v>
      </c>
      <c r="C6" s="568">
        <v>1999</v>
      </c>
      <c r="D6" s="568">
        <v>2000</v>
      </c>
      <c r="E6" s="13">
        <v>2001</v>
      </c>
      <c r="F6" s="12">
        <v>2000</v>
      </c>
      <c r="G6" s="12">
        <v>2000</v>
      </c>
      <c r="H6" s="12">
        <v>2000</v>
      </c>
      <c r="I6" s="12">
        <v>2001</v>
      </c>
      <c r="J6" s="12">
        <v>2001</v>
      </c>
    </row>
    <row r="7" spans="1:10" ht="15" customHeight="1">
      <c r="A7" s="143"/>
      <c r="B7" s="572"/>
      <c r="C7" s="573"/>
      <c r="D7" s="573"/>
      <c r="E7" s="138" t="s">
        <v>481</v>
      </c>
      <c r="F7" s="139" t="s">
        <v>301</v>
      </c>
      <c r="G7" s="139" t="s">
        <v>302</v>
      </c>
      <c r="H7" s="139" t="s">
        <v>303</v>
      </c>
      <c r="I7" s="139" t="s">
        <v>304</v>
      </c>
      <c r="J7" s="140" t="s">
        <v>301</v>
      </c>
    </row>
    <row r="8" spans="1:10" ht="15" customHeight="1">
      <c r="A8" s="15"/>
      <c r="B8" s="567"/>
      <c r="C8" s="569"/>
      <c r="D8" s="569"/>
      <c r="E8" s="142" t="s">
        <v>301</v>
      </c>
      <c r="F8" s="19"/>
      <c r="G8" s="19"/>
      <c r="H8" s="19"/>
      <c r="I8" s="19"/>
      <c r="J8" s="19"/>
    </row>
    <row r="9" spans="1:10" ht="9.75" customHeight="1">
      <c r="A9" s="143"/>
      <c r="B9" s="64"/>
      <c r="C9" s="50"/>
      <c r="D9" s="50"/>
      <c r="E9" s="144"/>
      <c r="F9" s="144"/>
      <c r="G9" s="139"/>
      <c r="H9" s="139"/>
      <c r="I9" s="139"/>
      <c r="J9" s="139"/>
    </row>
    <row r="10" spans="1:10" ht="18" customHeight="1">
      <c r="A10" s="25" t="s">
        <v>590</v>
      </c>
      <c r="B10" s="221">
        <v>47559</v>
      </c>
      <c r="C10" s="222">
        <v>49994.5</v>
      </c>
      <c r="D10" s="222">
        <v>54481.1</v>
      </c>
      <c r="E10" s="222">
        <v>20722.3</v>
      </c>
      <c r="F10" s="222">
        <v>13917.5</v>
      </c>
      <c r="G10" s="222">
        <v>18414.8</v>
      </c>
      <c r="H10" s="222">
        <v>12886.2</v>
      </c>
      <c r="I10" s="222">
        <v>7409.8</v>
      </c>
      <c r="J10" s="222">
        <v>13312.5</v>
      </c>
    </row>
    <row r="11" spans="1:10" ht="9.75" customHeight="1">
      <c r="A11" s="8"/>
      <c r="B11" s="41"/>
      <c r="C11" s="8"/>
      <c r="D11" s="8"/>
      <c r="E11" s="8"/>
      <c r="F11" s="8"/>
      <c r="G11" s="8"/>
      <c r="H11" s="8"/>
      <c r="I11" s="8"/>
      <c r="J11" s="8"/>
    </row>
    <row r="12" spans="1:10" ht="18" customHeight="1">
      <c r="A12" s="171" t="s">
        <v>591</v>
      </c>
      <c r="B12" s="221">
        <v>135110.4</v>
      </c>
      <c r="C12" s="222">
        <v>134618.5</v>
      </c>
      <c r="D12" s="222">
        <v>147568.4</v>
      </c>
      <c r="E12" s="222">
        <v>57237.5</v>
      </c>
      <c r="F12" s="222">
        <v>35430</v>
      </c>
      <c r="G12" s="222">
        <v>45994</v>
      </c>
      <c r="H12" s="222">
        <v>39118.1</v>
      </c>
      <c r="I12" s="222">
        <v>22720.3</v>
      </c>
      <c r="J12" s="222">
        <v>34517.2</v>
      </c>
    </row>
    <row r="13" spans="1:10" ht="18" customHeight="1">
      <c r="A13" s="176" t="s">
        <v>592</v>
      </c>
      <c r="B13" s="221">
        <v>208.3</v>
      </c>
      <c r="C13" s="222">
        <v>163.8</v>
      </c>
      <c r="D13" s="222">
        <v>316.2</v>
      </c>
      <c r="E13" s="222">
        <v>135.5</v>
      </c>
      <c r="F13" s="222">
        <v>60.8</v>
      </c>
      <c r="G13" s="222">
        <v>129.9</v>
      </c>
      <c r="H13" s="222">
        <v>112.2</v>
      </c>
      <c r="I13" s="222">
        <v>24.9</v>
      </c>
      <c r="J13" s="222">
        <v>110.6</v>
      </c>
    </row>
    <row r="14" spans="1:10" ht="18" customHeight="1">
      <c r="A14" s="8" t="s">
        <v>593</v>
      </c>
      <c r="B14" s="221">
        <v>398.4</v>
      </c>
      <c r="C14" s="222">
        <v>438.3</v>
      </c>
      <c r="D14" s="222">
        <v>488.6</v>
      </c>
      <c r="E14" s="222">
        <v>195.9</v>
      </c>
      <c r="F14" s="222">
        <v>131.2</v>
      </c>
      <c r="G14" s="222">
        <v>122.2</v>
      </c>
      <c r="H14" s="222">
        <v>112.8</v>
      </c>
      <c r="I14" s="222">
        <v>75.5</v>
      </c>
      <c r="J14" s="222">
        <v>120.4</v>
      </c>
    </row>
    <row r="15" spans="1:10" ht="18" customHeight="1">
      <c r="A15" s="8" t="s">
        <v>594</v>
      </c>
      <c r="B15" s="221">
        <v>1763.9</v>
      </c>
      <c r="C15" s="222">
        <v>1849.4</v>
      </c>
      <c r="D15" s="222">
        <v>1942.4</v>
      </c>
      <c r="E15" s="222">
        <v>1067.2</v>
      </c>
      <c r="F15" s="222">
        <v>454.6</v>
      </c>
      <c r="G15" s="222">
        <v>332.6</v>
      </c>
      <c r="H15" s="222">
        <v>609.6</v>
      </c>
      <c r="I15" s="222">
        <v>429.4</v>
      </c>
      <c r="J15" s="222">
        <v>637.8</v>
      </c>
    </row>
    <row r="16" spans="1:10" ht="18" customHeight="1">
      <c r="A16" s="8" t="s">
        <v>595</v>
      </c>
      <c r="B16" s="221">
        <v>385.8</v>
      </c>
      <c r="C16" s="222">
        <v>424.4</v>
      </c>
      <c r="D16" s="222">
        <v>412.9</v>
      </c>
      <c r="E16" s="222">
        <v>139.9</v>
      </c>
      <c r="F16" s="222">
        <v>83.9</v>
      </c>
      <c r="G16" s="222">
        <v>125.5</v>
      </c>
      <c r="H16" s="222">
        <v>143.7</v>
      </c>
      <c r="I16" s="222">
        <v>66.9</v>
      </c>
      <c r="J16" s="222">
        <v>73</v>
      </c>
    </row>
    <row r="17" spans="1:10" ht="18" customHeight="1">
      <c r="A17" s="8" t="s">
        <v>596</v>
      </c>
      <c r="B17" s="221">
        <v>956.2</v>
      </c>
      <c r="C17" s="222">
        <v>1043</v>
      </c>
      <c r="D17" s="222">
        <v>1131.2</v>
      </c>
      <c r="E17" s="222">
        <v>552.7</v>
      </c>
      <c r="F17" s="222">
        <v>315.1</v>
      </c>
      <c r="G17" s="222">
        <v>253.1</v>
      </c>
      <c r="H17" s="222">
        <v>277.4</v>
      </c>
      <c r="I17" s="222">
        <v>241.1</v>
      </c>
      <c r="J17" s="222">
        <v>311.6</v>
      </c>
    </row>
    <row r="18" spans="1:10" ht="18" customHeight="1">
      <c r="A18" s="8" t="s">
        <v>597</v>
      </c>
      <c r="B18" s="221">
        <v>627</v>
      </c>
      <c r="C18" s="222">
        <v>435.6</v>
      </c>
      <c r="D18" s="222">
        <v>534.4</v>
      </c>
      <c r="E18" s="222">
        <v>172.2</v>
      </c>
      <c r="F18" s="222">
        <v>135.7</v>
      </c>
      <c r="G18" s="222">
        <v>237.7</v>
      </c>
      <c r="H18" s="222">
        <v>122.6</v>
      </c>
      <c r="I18" s="222">
        <v>43.4</v>
      </c>
      <c r="J18" s="222">
        <v>128.8</v>
      </c>
    </row>
    <row r="19" spans="1:10" ht="18" customHeight="1">
      <c r="A19" s="8" t="s">
        <v>598</v>
      </c>
      <c r="B19" s="221">
        <v>2106.1</v>
      </c>
      <c r="C19" s="222">
        <v>2316.2</v>
      </c>
      <c r="D19" s="222">
        <v>2094.8</v>
      </c>
      <c r="E19" s="222">
        <v>702.2</v>
      </c>
      <c r="F19" s="222">
        <v>455.2</v>
      </c>
      <c r="G19" s="222">
        <v>774.2</v>
      </c>
      <c r="H19" s="222">
        <v>505.3</v>
      </c>
      <c r="I19" s="222">
        <v>291.8</v>
      </c>
      <c r="J19" s="222">
        <v>410.4</v>
      </c>
    </row>
    <row r="20" spans="1:10" ht="18" customHeight="1">
      <c r="A20" s="8" t="s">
        <v>599</v>
      </c>
      <c r="B20" s="221">
        <v>684.8</v>
      </c>
      <c r="C20" s="222">
        <v>800.1</v>
      </c>
      <c r="D20" s="222">
        <v>826.8</v>
      </c>
      <c r="E20" s="222">
        <v>298.8</v>
      </c>
      <c r="F20" s="222">
        <v>204.1</v>
      </c>
      <c r="G20" s="222">
        <v>232.4</v>
      </c>
      <c r="H20" s="222">
        <v>187.6</v>
      </c>
      <c r="I20" s="222">
        <v>111.6</v>
      </c>
      <c r="J20" s="222">
        <v>187.2</v>
      </c>
    </row>
    <row r="21" spans="1:10" ht="18" customHeight="1">
      <c r="A21" s="171" t="s">
        <v>600</v>
      </c>
      <c r="B21" s="221">
        <v>34006.8</v>
      </c>
      <c r="C21" s="222">
        <v>34394.1</v>
      </c>
      <c r="D21" s="222">
        <v>39237</v>
      </c>
      <c r="E21" s="222">
        <v>14527.2</v>
      </c>
      <c r="F21" s="222">
        <v>9859.7</v>
      </c>
      <c r="G21" s="222">
        <v>10880.7</v>
      </c>
      <c r="H21" s="222">
        <v>10382.5</v>
      </c>
      <c r="I21" s="222">
        <v>6977.2</v>
      </c>
      <c r="J21" s="222">
        <v>7550</v>
      </c>
    </row>
    <row r="22" spans="1:10" ht="9.75" customHeight="1">
      <c r="A22" s="8"/>
      <c r="B22" s="41"/>
      <c r="C22" s="8"/>
      <c r="D22" s="8"/>
      <c r="E22" s="8"/>
      <c r="F22" s="8"/>
      <c r="G22" s="8"/>
      <c r="H22" s="8"/>
      <c r="I22" s="8"/>
      <c r="J22" s="8"/>
    </row>
    <row r="23" spans="1:10" ht="18" customHeight="1">
      <c r="A23" s="171" t="s">
        <v>601</v>
      </c>
      <c r="B23" s="41"/>
      <c r="C23" s="8"/>
      <c r="D23" s="8"/>
      <c r="E23" s="8"/>
      <c r="F23" s="8"/>
      <c r="G23" s="8"/>
      <c r="H23" s="8"/>
      <c r="I23" s="8"/>
      <c r="J23" s="8"/>
    </row>
    <row r="24" spans="1:10" ht="18" customHeight="1">
      <c r="A24" s="176" t="s">
        <v>602</v>
      </c>
      <c r="B24" s="221">
        <v>2398.8</v>
      </c>
      <c r="C24" s="222">
        <v>1701.5</v>
      </c>
      <c r="D24" s="222">
        <v>2055.6</v>
      </c>
      <c r="E24" s="222">
        <v>788.8</v>
      </c>
      <c r="F24" s="222">
        <v>488.9</v>
      </c>
      <c r="G24" s="222">
        <v>663.1</v>
      </c>
      <c r="H24" s="222">
        <v>593</v>
      </c>
      <c r="I24" s="222">
        <v>325.5</v>
      </c>
      <c r="J24" s="222">
        <v>463.3</v>
      </c>
    </row>
    <row r="25" spans="1:10" ht="18" customHeight="1">
      <c r="A25" s="8" t="s">
        <v>603</v>
      </c>
      <c r="B25" s="221">
        <v>1987.6</v>
      </c>
      <c r="C25" s="222">
        <v>2153.2</v>
      </c>
      <c r="D25" s="222">
        <v>3302.3</v>
      </c>
      <c r="E25" s="222">
        <v>1460.9</v>
      </c>
      <c r="F25" s="222">
        <v>1006.6</v>
      </c>
      <c r="G25" s="222">
        <v>852.3</v>
      </c>
      <c r="H25" s="222">
        <v>853.7</v>
      </c>
      <c r="I25" s="222">
        <v>614.6</v>
      </c>
      <c r="J25" s="222">
        <v>846.3</v>
      </c>
    </row>
    <row r="26" spans="1:10" ht="18" customHeight="1">
      <c r="A26" s="8" t="s">
        <v>604</v>
      </c>
      <c r="B26" s="221">
        <v>1473.7</v>
      </c>
      <c r="C26" s="222">
        <v>1560.3</v>
      </c>
      <c r="D26" s="222">
        <v>1252.5</v>
      </c>
      <c r="E26" s="222">
        <v>609.5</v>
      </c>
      <c r="F26" s="222">
        <v>423.3</v>
      </c>
      <c r="G26" s="222">
        <v>277.5</v>
      </c>
      <c r="H26" s="222">
        <v>278.6</v>
      </c>
      <c r="I26" s="222">
        <v>257</v>
      </c>
      <c r="J26" s="222">
        <v>352.5</v>
      </c>
    </row>
    <row r="27" spans="1:10" ht="18" customHeight="1">
      <c r="A27" s="8" t="s">
        <v>605</v>
      </c>
      <c r="B27" s="221">
        <v>109.6</v>
      </c>
      <c r="C27" s="222">
        <v>123.7</v>
      </c>
      <c r="D27" s="222">
        <v>291</v>
      </c>
      <c r="E27" s="222">
        <v>121.5</v>
      </c>
      <c r="F27" s="222">
        <v>82.8</v>
      </c>
      <c r="G27" s="222">
        <v>64.7</v>
      </c>
      <c r="H27" s="222">
        <v>70.8</v>
      </c>
      <c r="I27" s="222">
        <v>78.3</v>
      </c>
      <c r="J27" s="222">
        <v>43.2</v>
      </c>
    </row>
    <row r="28" spans="1:10" ht="16.5" customHeight="1">
      <c r="A28" s="232"/>
      <c r="B28" s="9"/>
      <c r="C28" s="9"/>
      <c r="D28" s="9"/>
      <c r="E28" s="8"/>
      <c r="F28" s="8"/>
      <c r="G28" s="8"/>
      <c r="H28" s="8"/>
      <c r="I28" s="8"/>
      <c r="J28" s="8"/>
    </row>
    <row r="29" spans="1:10" ht="18" customHeight="1">
      <c r="A29" s="216" t="s">
        <v>606</v>
      </c>
      <c r="B29" s="221">
        <v>72.8</v>
      </c>
      <c r="C29" s="222">
        <v>66.6</v>
      </c>
      <c r="D29" s="222">
        <v>67</v>
      </c>
      <c r="E29" s="222">
        <v>23.8</v>
      </c>
      <c r="F29" s="222">
        <v>16</v>
      </c>
      <c r="G29" s="222">
        <v>20.9</v>
      </c>
      <c r="H29" s="222">
        <v>17.8</v>
      </c>
      <c r="I29" s="222">
        <v>9.5</v>
      </c>
      <c r="J29" s="222">
        <v>14.3</v>
      </c>
    </row>
    <row r="30" spans="1:10" ht="18" customHeight="1">
      <c r="A30" s="216" t="s">
        <v>607</v>
      </c>
      <c r="B30" s="41"/>
      <c r="C30" s="8"/>
      <c r="D30" s="8"/>
      <c r="E30" s="8"/>
      <c r="F30" s="8"/>
      <c r="G30" s="8"/>
      <c r="H30" s="8"/>
      <c r="I30" s="8"/>
      <c r="J30" s="8"/>
    </row>
    <row r="31" spans="1:10" ht="9.75" customHeight="1">
      <c r="A31" s="8"/>
      <c r="B31" s="41"/>
      <c r="C31" s="8"/>
      <c r="D31" s="8"/>
      <c r="E31" s="8"/>
      <c r="F31" s="8"/>
      <c r="G31" s="8"/>
      <c r="H31" s="8"/>
      <c r="I31" s="8"/>
      <c r="J31" s="8"/>
    </row>
    <row r="32" spans="1:10" ht="18" customHeight="1">
      <c r="A32" s="176" t="s">
        <v>608</v>
      </c>
      <c r="B32" s="221">
        <v>71.7</v>
      </c>
      <c r="C32" s="222">
        <v>51.3</v>
      </c>
      <c r="D32" s="222">
        <v>90.1</v>
      </c>
      <c r="E32" s="222">
        <v>35.1</v>
      </c>
      <c r="F32" s="222">
        <v>17.3</v>
      </c>
      <c r="G32" s="222">
        <v>37</v>
      </c>
      <c r="H32" s="222">
        <v>32</v>
      </c>
      <c r="I32" s="222">
        <v>6.5</v>
      </c>
      <c r="J32" s="222">
        <v>28.6</v>
      </c>
    </row>
    <row r="33" spans="1:10" ht="18" customHeight="1">
      <c r="A33" s="8" t="s">
        <v>609</v>
      </c>
      <c r="B33" s="221">
        <v>106.5</v>
      </c>
      <c r="C33" s="222">
        <v>106.6</v>
      </c>
      <c r="D33" s="222">
        <v>108.1</v>
      </c>
      <c r="E33" s="222">
        <v>39.4</v>
      </c>
      <c r="F33" s="222">
        <v>29</v>
      </c>
      <c r="G33" s="222">
        <v>27</v>
      </c>
      <c r="H33" s="222">
        <v>25</v>
      </c>
      <c r="I33" s="222">
        <v>15.2</v>
      </c>
      <c r="J33" s="222">
        <v>24.2</v>
      </c>
    </row>
    <row r="34" spans="1:10" ht="18" customHeight="1">
      <c r="A34" s="8" t="s">
        <v>610</v>
      </c>
      <c r="B34" s="221">
        <v>112.6</v>
      </c>
      <c r="C34" s="222">
        <v>107.4</v>
      </c>
      <c r="D34" s="222">
        <v>102.6</v>
      </c>
      <c r="E34" s="222">
        <v>51.3</v>
      </c>
      <c r="F34" s="222">
        <v>24</v>
      </c>
      <c r="G34" s="222">
        <v>17.6</v>
      </c>
      <c r="H34" s="222">
        <v>32.2</v>
      </c>
      <c r="I34" s="222">
        <v>20.6</v>
      </c>
      <c r="J34" s="222">
        <v>30.7</v>
      </c>
    </row>
    <row r="35" spans="1:10" ht="18" customHeight="1">
      <c r="A35" s="8" t="s">
        <v>611</v>
      </c>
      <c r="B35" s="221">
        <v>109</v>
      </c>
      <c r="C35" s="222">
        <v>109</v>
      </c>
      <c r="D35" s="222">
        <v>96.5</v>
      </c>
      <c r="E35" s="222">
        <v>29.7</v>
      </c>
      <c r="F35" s="222">
        <v>19.6</v>
      </c>
      <c r="G35" s="222">
        <v>29.3</v>
      </c>
      <c r="H35" s="222">
        <v>33.6</v>
      </c>
      <c r="I35" s="222">
        <v>14.2</v>
      </c>
      <c r="J35" s="222">
        <v>15.5</v>
      </c>
    </row>
    <row r="36" spans="1:10" ht="18" customHeight="1">
      <c r="A36" s="8" t="s">
        <v>612</v>
      </c>
      <c r="B36" s="221">
        <v>108</v>
      </c>
      <c r="C36" s="222">
        <v>107.2</v>
      </c>
      <c r="D36" s="222">
        <v>105.7</v>
      </c>
      <c r="E36" s="222">
        <v>47</v>
      </c>
      <c r="F36" s="222">
        <v>29.5</v>
      </c>
      <c r="G36" s="222">
        <v>23.6</v>
      </c>
      <c r="H36" s="222">
        <v>25.9</v>
      </c>
      <c r="I36" s="222">
        <v>20.5</v>
      </c>
      <c r="J36" s="222">
        <v>26.5</v>
      </c>
    </row>
    <row r="37" spans="1:10" ht="18" customHeight="1">
      <c r="A37" s="8" t="s">
        <v>613</v>
      </c>
      <c r="B37" s="221">
        <v>101.9</v>
      </c>
      <c r="C37" s="222">
        <v>64.4</v>
      </c>
      <c r="D37" s="222">
        <v>71.9</v>
      </c>
      <c r="E37" s="222">
        <v>21.1</v>
      </c>
      <c r="F37" s="222">
        <v>18.2</v>
      </c>
      <c r="G37" s="222">
        <v>32</v>
      </c>
      <c r="H37" s="222">
        <v>16.5</v>
      </c>
      <c r="I37" s="222">
        <v>5.3</v>
      </c>
      <c r="J37" s="222">
        <v>15.8</v>
      </c>
    </row>
    <row r="38" spans="1:10" ht="18" customHeight="1">
      <c r="A38" s="8" t="s">
        <v>614</v>
      </c>
      <c r="B38" s="221">
        <v>109.9</v>
      </c>
      <c r="C38" s="222">
        <v>110</v>
      </c>
      <c r="D38" s="222">
        <v>90.5</v>
      </c>
      <c r="E38" s="222">
        <v>27.6</v>
      </c>
      <c r="F38" s="222">
        <v>19.6</v>
      </c>
      <c r="G38" s="222">
        <v>33.5</v>
      </c>
      <c r="H38" s="222">
        <v>21.8</v>
      </c>
      <c r="I38" s="222">
        <v>11.5</v>
      </c>
      <c r="J38" s="222">
        <v>16.1</v>
      </c>
    </row>
    <row r="39" spans="1:10" ht="18" customHeight="1">
      <c r="A39" s="8" t="s">
        <v>615</v>
      </c>
      <c r="B39" s="221">
        <v>106.3</v>
      </c>
      <c r="C39" s="222">
        <v>113</v>
      </c>
      <c r="D39" s="222">
        <v>106.2</v>
      </c>
      <c r="E39" s="222">
        <v>34.9</v>
      </c>
      <c r="F39" s="222">
        <v>26.3</v>
      </c>
      <c r="G39" s="222">
        <v>29.8</v>
      </c>
      <c r="H39" s="222">
        <v>24.1</v>
      </c>
      <c r="I39" s="222">
        <v>13</v>
      </c>
      <c r="J39" s="222">
        <v>21.9</v>
      </c>
    </row>
    <row r="40" spans="1:10" ht="18" customHeight="1">
      <c r="A40" s="171" t="s">
        <v>616</v>
      </c>
      <c r="B40" s="221">
        <v>38.6</v>
      </c>
      <c r="C40" s="222">
        <v>36.2</v>
      </c>
      <c r="D40" s="222">
        <v>38.2</v>
      </c>
      <c r="E40" s="222">
        <v>13.1</v>
      </c>
      <c r="F40" s="222">
        <v>9.6</v>
      </c>
      <c r="G40" s="222">
        <v>10.6</v>
      </c>
      <c r="H40" s="222">
        <v>10.1</v>
      </c>
      <c r="I40" s="222">
        <v>6.3</v>
      </c>
      <c r="J40" s="222">
        <v>6.8</v>
      </c>
    </row>
    <row r="41" spans="1:10" ht="9.75" customHeight="1">
      <c r="A41" s="187"/>
      <c r="B41" s="233"/>
      <c r="C41" s="187"/>
      <c r="D41" s="187"/>
      <c r="E41" s="187"/>
      <c r="F41" s="187"/>
      <c r="G41" s="187"/>
      <c r="H41" s="187"/>
      <c r="I41" s="187"/>
      <c r="J41" s="187"/>
    </row>
    <row r="42" spans="1:10" ht="4.5" customHeight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8" customHeight="1">
      <c r="A43" s="234" t="s">
        <v>617</v>
      </c>
      <c r="B43" s="9"/>
      <c r="C43" s="9"/>
      <c r="D43" s="9"/>
      <c r="E43" s="9"/>
      <c r="F43" s="9"/>
      <c r="G43" s="9"/>
      <c r="H43" s="9"/>
      <c r="I43" s="9"/>
      <c r="J43" s="8"/>
    </row>
    <row r="44" spans="1:10" ht="18" customHeight="1">
      <c r="A44" s="235" t="s">
        <v>618</v>
      </c>
      <c r="B44" s="9"/>
      <c r="C44" s="9"/>
      <c r="D44" s="9"/>
      <c r="E44" s="9"/>
      <c r="F44" s="9"/>
      <c r="G44" s="9"/>
      <c r="H44" s="9"/>
      <c r="I44" s="9"/>
      <c r="J44" s="8"/>
    </row>
    <row r="45" spans="1:10" ht="15" customHeight="1">
      <c r="A45" s="8"/>
      <c r="B45" s="9"/>
      <c r="C45" s="9"/>
      <c r="D45" s="9"/>
      <c r="E45" s="9"/>
      <c r="F45" s="9"/>
      <c r="G45" s="9"/>
      <c r="H45" s="9"/>
      <c r="I45" s="9"/>
      <c r="J45" s="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>
      <c r="A56" s="236"/>
    </row>
    <row r="58" ht="7.5" customHeight="1"/>
    <row r="59" ht="15" customHeight="1"/>
    <row r="60" ht="15" customHeight="1"/>
    <row r="61" ht="15" customHeight="1"/>
    <row r="62" ht="15" customHeight="1"/>
    <row r="63" ht="3.7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3.75" customHeight="1"/>
    <row r="74" ht="15" customHeight="1"/>
    <row r="75" ht="3.75" customHeight="1"/>
  </sheetData>
  <mergeCells count="3"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57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4.50390625" style="23" customWidth="1"/>
    <col min="2" max="2" width="9.125" style="9" customWidth="1"/>
    <col min="3" max="3" width="9.375" style="9" customWidth="1"/>
    <col min="4" max="4" width="9.875" style="9" customWidth="1"/>
    <col min="5" max="5" width="9.25390625" style="9" customWidth="1"/>
    <col min="6" max="6" width="9.125" style="9" customWidth="1"/>
    <col min="7" max="7" width="8.875" style="9" customWidth="1"/>
    <col min="8" max="8" width="9.25390625" style="9" customWidth="1"/>
    <col min="9" max="9" width="8.875" style="9" customWidth="1"/>
    <col min="10" max="10" width="8.75390625" style="8" customWidth="1"/>
    <col min="11" max="16384" width="9.00390625" style="24" customWidth="1"/>
  </cols>
  <sheetData>
    <row r="1" spans="1:10" s="3" customFormat="1" ht="15" customHeight="1">
      <c r="A1" s="4" t="s">
        <v>619</v>
      </c>
      <c r="B1" s="8"/>
      <c r="C1" s="9"/>
      <c r="D1" s="9"/>
      <c r="E1" s="9"/>
      <c r="F1" s="8"/>
      <c r="G1" s="9"/>
      <c r="H1" s="9"/>
      <c r="I1" s="9"/>
      <c r="J1" s="8"/>
    </row>
    <row r="2" spans="1:10" s="3" customFormat="1" ht="15" customHeight="1">
      <c r="A2" s="4"/>
      <c r="B2" s="8"/>
      <c r="C2" s="9"/>
      <c r="D2" s="9"/>
      <c r="E2" s="9"/>
      <c r="F2" s="8"/>
      <c r="G2" s="9"/>
      <c r="H2" s="9"/>
      <c r="I2" s="9"/>
      <c r="J2" s="8"/>
    </row>
    <row r="4" spans="1:6" ht="16.5">
      <c r="A4" s="5" t="s">
        <v>620</v>
      </c>
      <c r="B4" s="8"/>
      <c r="F4" s="8"/>
    </row>
    <row r="5" spans="1:6" ht="15" customHeight="1">
      <c r="A5" s="7"/>
      <c r="B5" s="8"/>
      <c r="F5" s="8"/>
    </row>
    <row r="6" spans="1:10" ht="15" customHeight="1">
      <c r="A6" s="132"/>
      <c r="B6" s="566">
        <v>1998</v>
      </c>
      <c r="C6" s="568">
        <v>1999</v>
      </c>
      <c r="D6" s="568">
        <v>2000</v>
      </c>
      <c r="E6" s="13">
        <v>2001</v>
      </c>
      <c r="F6" s="12">
        <v>2000</v>
      </c>
      <c r="G6" s="12">
        <v>2000</v>
      </c>
      <c r="H6" s="12">
        <v>2000</v>
      </c>
      <c r="I6" s="12">
        <v>2001</v>
      </c>
      <c r="J6" s="12">
        <v>2001</v>
      </c>
    </row>
    <row r="7" spans="1:10" ht="15" customHeight="1">
      <c r="A7" s="143"/>
      <c r="B7" s="572"/>
      <c r="C7" s="573"/>
      <c r="D7" s="573"/>
      <c r="E7" s="138" t="s">
        <v>621</v>
      </c>
      <c r="F7" s="139" t="s">
        <v>622</v>
      </c>
      <c r="G7" s="139" t="s">
        <v>623</v>
      </c>
      <c r="H7" s="139" t="s">
        <v>624</v>
      </c>
      <c r="I7" s="139" t="s">
        <v>625</v>
      </c>
      <c r="J7" s="140" t="s">
        <v>622</v>
      </c>
    </row>
    <row r="8" spans="1:10" ht="15" customHeight="1">
      <c r="A8" s="15"/>
      <c r="B8" s="567"/>
      <c r="C8" s="569"/>
      <c r="D8" s="569"/>
      <c r="E8" s="142" t="s">
        <v>622</v>
      </c>
      <c r="F8" s="17"/>
      <c r="G8" s="17"/>
      <c r="H8" s="17"/>
      <c r="I8" s="17"/>
      <c r="J8" s="17"/>
    </row>
    <row r="9" spans="1:10" ht="7.5" customHeight="1">
      <c r="A9" s="143"/>
      <c r="B9" s="64"/>
      <c r="C9" s="50"/>
      <c r="D9" s="50"/>
      <c r="E9" s="12"/>
      <c r="F9" s="12"/>
      <c r="G9" s="50"/>
      <c r="H9" s="50"/>
      <c r="I9" s="50"/>
      <c r="J9" s="50"/>
    </row>
    <row r="10" spans="1:10" ht="18" customHeight="1">
      <c r="A10" s="216" t="s">
        <v>626</v>
      </c>
      <c r="B10" s="217">
        <f>4593536.9/1000</f>
        <v>4593.5369</v>
      </c>
      <c r="C10" s="157">
        <f>4618228.6/1000</f>
        <v>4618.2285999999995</v>
      </c>
      <c r="D10" s="218">
        <f>4885439.2/1000</f>
        <v>4885.4392</v>
      </c>
      <c r="E10" s="218">
        <f>1993038.9/1000</f>
        <v>1993.0389</v>
      </c>
      <c r="F10" s="218">
        <f>1287227.3/1000</f>
        <v>1287.2273</v>
      </c>
      <c r="G10" s="157">
        <f>1392149.1/1000</f>
        <v>1392.1491</v>
      </c>
      <c r="H10" s="157">
        <f>1152871.1/1000</f>
        <v>1152.8711</v>
      </c>
      <c r="I10" s="157">
        <f>776014.6/1000</f>
        <v>776.0146</v>
      </c>
      <c r="J10" s="157">
        <f>1217024.3/1000</f>
        <v>1217.0243</v>
      </c>
    </row>
    <row r="11" spans="1:10" ht="18" customHeight="1">
      <c r="A11" s="216" t="s">
        <v>627</v>
      </c>
      <c r="B11" s="217"/>
      <c r="C11" s="157"/>
      <c r="D11" s="218"/>
      <c r="E11" s="218"/>
      <c r="F11" s="218"/>
      <c r="G11" s="157"/>
      <c r="H11" s="157"/>
      <c r="I11" s="157"/>
      <c r="J11" s="157"/>
    </row>
    <row r="12" spans="2:10" ht="7.5" customHeight="1">
      <c r="B12" s="237"/>
      <c r="C12" s="153"/>
      <c r="D12" s="153"/>
      <c r="E12" s="153"/>
      <c r="F12" s="153"/>
      <c r="G12" s="153"/>
      <c r="H12" s="153"/>
      <c r="I12" s="153"/>
      <c r="J12" s="153"/>
    </row>
    <row r="13" spans="1:10" ht="18" customHeight="1">
      <c r="A13" s="52" t="s">
        <v>628</v>
      </c>
      <c r="B13" s="217">
        <f>4276412.9/1000</f>
        <v>4276.4129</v>
      </c>
      <c r="C13" s="157">
        <f>4287976.8/1000</f>
        <v>4287.9767999999995</v>
      </c>
      <c r="D13" s="218">
        <f>4452364.7/1000</f>
        <v>4452.3647</v>
      </c>
      <c r="E13" s="218">
        <f>1816628.9/1000</f>
        <v>1816.6289</v>
      </c>
      <c r="F13" s="218">
        <f>1174936/1000</f>
        <v>1174.936</v>
      </c>
      <c r="G13" s="157">
        <f>1282132.3/1000</f>
        <v>1282.1323</v>
      </c>
      <c r="H13" s="157">
        <f>1034070.9/1000</f>
        <v>1034.0709</v>
      </c>
      <c r="I13" s="157">
        <f>700829.5/1000</f>
        <v>700.8295</v>
      </c>
      <c r="J13" s="157">
        <f>1115799.4/1000</f>
        <v>1115.7993999999999</v>
      </c>
    </row>
    <row r="14" spans="1:10" ht="18" customHeight="1">
      <c r="A14" s="176" t="s">
        <v>629</v>
      </c>
      <c r="B14" s="217">
        <f>490164.1/1000</f>
        <v>490.16409999999996</v>
      </c>
      <c r="C14" s="157">
        <f>461251.9/1000</f>
        <v>461.25190000000003</v>
      </c>
      <c r="D14" s="218">
        <f>535708.6/1000</f>
        <v>535.7085999999999</v>
      </c>
      <c r="E14" s="218">
        <f>262860.4/1000</f>
        <v>262.8604</v>
      </c>
      <c r="F14" s="218">
        <f>142609/1000</f>
        <v>142.609</v>
      </c>
      <c r="G14" s="157">
        <f>93565.5/1000</f>
        <v>93.5655</v>
      </c>
      <c r="H14" s="157">
        <f>111981.1/1000</f>
        <v>111.98110000000001</v>
      </c>
      <c r="I14" s="157">
        <f>134882.7/1000</f>
        <v>134.8827</v>
      </c>
      <c r="J14" s="157">
        <f>127977.7/1000</f>
        <v>127.9777</v>
      </c>
    </row>
    <row r="15" spans="1:10" ht="18" customHeight="1">
      <c r="A15" s="8" t="s">
        <v>630</v>
      </c>
      <c r="B15" s="217">
        <f>1239556.3/1000</f>
        <v>1239.5563</v>
      </c>
      <c r="C15" s="157">
        <f>1250163/1000</f>
        <v>1250.163</v>
      </c>
      <c r="D15" s="218">
        <f>1202721.8/1000</f>
        <v>1202.7218</v>
      </c>
      <c r="E15" s="218">
        <f>467326.1/1000</f>
        <v>467.3261</v>
      </c>
      <c r="F15" s="218">
        <f>287954.6/1000</f>
        <v>287.95459999999997</v>
      </c>
      <c r="G15" s="157">
        <f>441742.1/1000</f>
        <v>441.7421</v>
      </c>
      <c r="H15" s="157">
        <f>307282.9/1000</f>
        <v>307.28290000000004</v>
      </c>
      <c r="I15" s="157">
        <f>98895.6/1000</f>
        <v>98.8956</v>
      </c>
      <c r="J15" s="157">
        <f>368430.5/1000</f>
        <v>368.4305</v>
      </c>
    </row>
    <row r="16" spans="1:10" ht="18" customHeight="1">
      <c r="A16" s="8" t="s">
        <v>631</v>
      </c>
      <c r="B16" s="217">
        <f>905444.1/1000</f>
        <v>905.4440999999999</v>
      </c>
      <c r="C16" s="157">
        <f>958076/1000</f>
        <v>958.076</v>
      </c>
      <c r="D16" s="218">
        <f>952416.1/1000</f>
        <v>952.4161</v>
      </c>
      <c r="E16" s="218">
        <f>407267.9/1000</f>
        <v>407.2679</v>
      </c>
      <c r="F16" s="218">
        <f>276503/1000</f>
        <v>276.503</v>
      </c>
      <c r="G16" s="157">
        <f>203511.8/1000</f>
        <v>203.5118</v>
      </c>
      <c r="H16" s="157">
        <f>222374.8/1000</f>
        <v>222.3748</v>
      </c>
      <c r="I16" s="157">
        <f>168018.6/1000</f>
        <v>168.0186</v>
      </c>
      <c r="J16" s="157">
        <f>239249.3/1000</f>
        <v>239.24929999999998</v>
      </c>
    </row>
    <row r="17" spans="1:10" ht="18" customHeight="1">
      <c r="A17" s="8" t="s">
        <v>632</v>
      </c>
      <c r="B17" s="217">
        <f>260830.9/1000</f>
        <v>260.8309</v>
      </c>
      <c r="C17" s="157">
        <f>255720.3/1000</f>
        <v>255.72029999999998</v>
      </c>
      <c r="D17" s="218">
        <f>226737.6/1000</f>
        <v>226.73760000000001</v>
      </c>
      <c r="E17" s="218">
        <f>126752/1000</f>
        <v>126.752</v>
      </c>
      <c r="F17" s="218">
        <f>74861.2/1000</f>
        <v>74.8612</v>
      </c>
      <c r="G17" s="157">
        <f>58271.9/1000</f>
        <v>58.2719</v>
      </c>
      <c r="H17" s="157">
        <f>46688.5/1000</f>
        <v>46.6885</v>
      </c>
      <c r="I17" s="157">
        <f>60064.4/1000</f>
        <v>60.0644</v>
      </c>
      <c r="J17" s="157">
        <f>66687.6/1000</f>
        <v>66.6876</v>
      </c>
    </row>
    <row r="18" spans="1:10" ht="18" customHeight="1">
      <c r="A18" s="8" t="s">
        <v>633</v>
      </c>
      <c r="B18" s="217">
        <f>359990.2/1000</f>
        <v>359.9902</v>
      </c>
      <c r="C18" s="157">
        <f>342034.6/1000</f>
        <v>342.03459999999995</v>
      </c>
      <c r="D18" s="218">
        <f>287226.8/1000</f>
        <v>287.22679999999997</v>
      </c>
      <c r="E18" s="218">
        <f>130080.7/1000</f>
        <v>130.0807</v>
      </c>
      <c r="F18" s="218">
        <f>73902.6/1000</f>
        <v>73.9026</v>
      </c>
      <c r="G18" s="157">
        <f>73715.5/1000</f>
        <v>73.7155</v>
      </c>
      <c r="H18" s="157">
        <f>74288.3/1000</f>
        <v>74.2883</v>
      </c>
      <c r="I18" s="157">
        <f>65050.9/1000</f>
        <v>65.0509</v>
      </c>
      <c r="J18" s="157">
        <f>65029.8/1000</f>
        <v>65.02980000000001</v>
      </c>
    </row>
    <row r="19" spans="1:10" ht="18" customHeight="1">
      <c r="A19" s="8" t="s">
        <v>634</v>
      </c>
      <c r="B19" s="217">
        <f>244849/1000</f>
        <v>244.849</v>
      </c>
      <c r="C19" s="157">
        <f>247462.9/1000</f>
        <v>247.4629</v>
      </c>
      <c r="D19" s="218">
        <f>293162/1000</f>
        <v>293.162</v>
      </c>
      <c r="E19" s="218">
        <f>47415.5/1000</f>
        <v>47.4155</v>
      </c>
      <c r="F19" s="218">
        <f>62936.6/1000</f>
        <v>62.9366</v>
      </c>
      <c r="G19" s="157">
        <f>139307.7/1000</f>
        <v>139.3077</v>
      </c>
      <c r="H19" s="157">
        <f>48954.9/1000</f>
        <v>48.9549</v>
      </c>
      <c r="I19" s="157">
        <f>19743.1/1000</f>
        <v>19.7431</v>
      </c>
      <c r="J19" s="157">
        <f>27672.4/1000</f>
        <v>27.672400000000003</v>
      </c>
    </row>
    <row r="20" spans="1:10" ht="18" customHeight="1">
      <c r="A20" s="171" t="s">
        <v>635</v>
      </c>
      <c r="B20" s="217">
        <f>775578.3/1000</f>
        <v>775.5783</v>
      </c>
      <c r="C20" s="157">
        <f>773268.2/1000</f>
        <v>773.2682</v>
      </c>
      <c r="D20" s="218">
        <f>954391.8/1000</f>
        <v>954.3918000000001</v>
      </c>
      <c r="E20" s="218">
        <f>374926.3/1000</f>
        <v>374.92629999999997</v>
      </c>
      <c r="F20" s="218">
        <f>256169.1/1000</f>
        <v>256.1691</v>
      </c>
      <c r="G20" s="157">
        <f>272017.9/1000</f>
        <v>272.0179</v>
      </c>
      <c r="H20" s="157">
        <f>222500.3/1000</f>
        <v>222.50029999999998</v>
      </c>
      <c r="I20" s="157">
        <f>154174.2/1000</f>
        <v>154.1742</v>
      </c>
      <c r="J20" s="157">
        <f>220752.1/1000</f>
        <v>220.7521</v>
      </c>
    </row>
    <row r="21" spans="2:10" ht="7.5" customHeight="1">
      <c r="B21" s="237"/>
      <c r="C21" s="153"/>
      <c r="D21" s="153"/>
      <c r="E21" s="153"/>
      <c r="F21" s="153"/>
      <c r="G21" s="153"/>
      <c r="H21" s="153"/>
      <c r="I21" s="153"/>
      <c r="J21" s="153"/>
    </row>
    <row r="22" spans="1:10" ht="18" customHeight="1">
      <c r="A22" s="171" t="s">
        <v>636</v>
      </c>
      <c r="B22" s="217">
        <f>317123.9/1000</f>
        <v>317.12390000000005</v>
      </c>
      <c r="C22" s="157">
        <f>330251.8/1000</f>
        <v>330.2518</v>
      </c>
      <c r="D22" s="218">
        <f>433074.5/1000</f>
        <v>433.0745</v>
      </c>
      <c r="E22" s="218">
        <f>176410/1000</f>
        <v>176.41</v>
      </c>
      <c r="F22" s="218">
        <f>112291.3/1000</f>
        <v>112.2913</v>
      </c>
      <c r="G22" s="157">
        <f>110016.8/1000</f>
        <v>110.0168</v>
      </c>
      <c r="H22" s="157">
        <f>118800.2/1000</f>
        <v>118.8002</v>
      </c>
      <c r="I22" s="157">
        <f>75185.2/1000</f>
        <v>75.1852</v>
      </c>
      <c r="J22" s="157">
        <f>101224.8/1000</f>
        <v>101.2248</v>
      </c>
    </row>
    <row r="23" spans="1:10" ht="18" customHeight="1">
      <c r="A23" s="143"/>
      <c r="B23" s="238"/>
      <c r="C23" s="239"/>
      <c r="D23" s="239"/>
      <c r="E23" s="239"/>
      <c r="F23" s="239"/>
      <c r="G23" s="239"/>
      <c r="H23" s="239"/>
      <c r="I23" s="239"/>
      <c r="J23" s="239"/>
    </row>
    <row r="24" spans="1:10" ht="18" customHeight="1">
      <c r="A24" s="216" t="s">
        <v>637</v>
      </c>
      <c r="B24" s="217">
        <v>27382.6</v>
      </c>
      <c r="C24" s="157">
        <v>27108.9</v>
      </c>
      <c r="D24" s="218">
        <v>28678.2</v>
      </c>
      <c r="E24" s="218">
        <v>12465.6</v>
      </c>
      <c r="F24" s="218">
        <v>7750.1</v>
      </c>
      <c r="G24" s="157">
        <v>7911.1</v>
      </c>
      <c r="H24" s="157">
        <v>6967.5</v>
      </c>
      <c r="I24" s="157">
        <v>4591.6</v>
      </c>
      <c r="J24" s="157">
        <v>7874</v>
      </c>
    </row>
    <row r="25" spans="1:10" ht="18" customHeight="1">
      <c r="A25" s="219" t="s">
        <v>638</v>
      </c>
      <c r="B25" s="217"/>
      <c r="C25" s="157"/>
      <c r="D25" s="218"/>
      <c r="E25" s="218"/>
      <c r="F25" s="218"/>
      <c r="G25" s="157"/>
      <c r="H25" s="157"/>
      <c r="I25" s="157"/>
      <c r="J25" s="157"/>
    </row>
    <row r="26" spans="2:10" ht="7.5" customHeight="1">
      <c r="B26" s="237"/>
      <c r="C26" s="153"/>
      <c r="D26" s="153"/>
      <c r="E26" s="153"/>
      <c r="F26" s="153"/>
      <c r="G26" s="153"/>
      <c r="H26" s="153"/>
      <c r="I26" s="153"/>
      <c r="J26" s="153"/>
    </row>
    <row r="27" spans="1:10" ht="18" customHeight="1">
      <c r="A27" s="52" t="s">
        <v>639</v>
      </c>
      <c r="B27" s="217">
        <v>21026.7</v>
      </c>
      <c r="C27" s="157">
        <v>21312.8</v>
      </c>
      <c r="D27" s="218">
        <v>22709.2</v>
      </c>
      <c r="E27" s="218">
        <v>9698.8</v>
      </c>
      <c r="F27" s="218">
        <v>6061.3</v>
      </c>
      <c r="G27" s="157">
        <v>5965.7</v>
      </c>
      <c r="H27" s="157">
        <v>5585.9</v>
      </c>
      <c r="I27" s="157">
        <v>3857.2</v>
      </c>
      <c r="J27" s="157">
        <v>5841.6</v>
      </c>
    </row>
    <row r="28" spans="1:10" ht="18" customHeight="1">
      <c r="A28" s="176" t="s">
        <v>640</v>
      </c>
      <c r="B28" s="217">
        <v>12801.9</v>
      </c>
      <c r="C28" s="157">
        <v>13200.6</v>
      </c>
      <c r="D28" s="218">
        <v>14436.7</v>
      </c>
      <c r="E28" s="218">
        <v>7085.2</v>
      </c>
      <c r="F28" s="218">
        <v>3798.9</v>
      </c>
      <c r="G28" s="157">
        <v>2304.5</v>
      </c>
      <c r="H28" s="157">
        <v>2799</v>
      </c>
      <c r="I28" s="157">
        <v>3681.9</v>
      </c>
      <c r="J28" s="157">
        <v>3403.3</v>
      </c>
    </row>
    <row r="29" spans="1:10" ht="18" customHeight="1">
      <c r="A29" s="8" t="s">
        <v>641</v>
      </c>
      <c r="B29" s="217">
        <v>13226.8</v>
      </c>
      <c r="C29" s="157">
        <v>13418.2</v>
      </c>
      <c r="D29" s="218">
        <v>13461</v>
      </c>
      <c r="E29" s="218">
        <v>5895.8</v>
      </c>
      <c r="F29" s="218">
        <v>3306.4</v>
      </c>
      <c r="G29" s="157">
        <v>4582.7</v>
      </c>
      <c r="H29" s="157">
        <v>3788.4</v>
      </c>
      <c r="I29" s="157">
        <v>1215.9</v>
      </c>
      <c r="J29" s="157">
        <v>4679.9</v>
      </c>
    </row>
    <row r="30" spans="1:10" ht="18" customHeight="1">
      <c r="A30" s="8" t="s">
        <v>642</v>
      </c>
      <c r="B30" s="217">
        <v>14045.6</v>
      </c>
      <c r="C30" s="157">
        <v>14475</v>
      </c>
      <c r="D30" s="218">
        <v>14615.6</v>
      </c>
      <c r="E30" s="218">
        <v>6628.6</v>
      </c>
      <c r="F30" s="218">
        <v>4101.3</v>
      </c>
      <c r="G30" s="157">
        <v>3062</v>
      </c>
      <c r="H30" s="157">
        <v>3604.6</v>
      </c>
      <c r="I30" s="157">
        <v>2701.5</v>
      </c>
      <c r="J30" s="157">
        <v>3927.1</v>
      </c>
    </row>
    <row r="31" spans="1:10" ht="18" customHeight="1">
      <c r="A31" s="8" t="s">
        <v>643</v>
      </c>
      <c r="B31" s="217">
        <v>4840.6</v>
      </c>
      <c r="C31" s="157">
        <v>4981.6</v>
      </c>
      <c r="D31" s="218">
        <v>4761.1</v>
      </c>
      <c r="E31" s="218">
        <v>2900.1</v>
      </c>
      <c r="F31" s="218">
        <v>1559.6</v>
      </c>
      <c r="G31" s="157">
        <v>1156.7</v>
      </c>
      <c r="H31" s="157">
        <v>1041.4</v>
      </c>
      <c r="I31" s="157">
        <v>1424.9</v>
      </c>
      <c r="J31" s="157">
        <v>1475.2</v>
      </c>
    </row>
    <row r="32" spans="1:10" ht="18" customHeight="1">
      <c r="A32" s="8" t="s">
        <v>644</v>
      </c>
      <c r="B32" s="217">
        <v>5980.4</v>
      </c>
      <c r="C32" s="157">
        <v>5912</v>
      </c>
      <c r="D32" s="218">
        <v>5287.1</v>
      </c>
      <c r="E32" s="218">
        <v>2592.3</v>
      </c>
      <c r="F32" s="218">
        <v>1362.8</v>
      </c>
      <c r="G32" s="157">
        <v>1296.4</v>
      </c>
      <c r="H32" s="157">
        <v>1428.4</v>
      </c>
      <c r="I32" s="157">
        <v>1326</v>
      </c>
      <c r="J32" s="157">
        <v>1266.3</v>
      </c>
    </row>
    <row r="33" spans="1:10" ht="18" customHeight="1">
      <c r="A33" s="8" t="s">
        <v>645</v>
      </c>
      <c r="B33" s="217">
        <v>1589.4</v>
      </c>
      <c r="C33" s="157">
        <v>1612.1</v>
      </c>
      <c r="D33" s="218">
        <v>1856.8</v>
      </c>
      <c r="E33" s="218">
        <v>362.3</v>
      </c>
      <c r="F33" s="218">
        <v>407.8</v>
      </c>
      <c r="G33" s="157">
        <v>882.5</v>
      </c>
      <c r="H33" s="157">
        <v>335.4</v>
      </c>
      <c r="I33" s="157">
        <v>131.6</v>
      </c>
      <c r="J33" s="157">
        <v>230.7</v>
      </c>
    </row>
    <row r="34" spans="1:10" ht="18" customHeight="1">
      <c r="A34" s="171" t="s">
        <v>646</v>
      </c>
      <c r="B34" s="217">
        <v>4389.1</v>
      </c>
      <c r="C34" s="157">
        <v>4294.3</v>
      </c>
      <c r="D34" s="218">
        <v>5341.4</v>
      </c>
      <c r="E34" s="218">
        <v>2089.3</v>
      </c>
      <c r="F34" s="218">
        <v>1429.8</v>
      </c>
      <c r="G34" s="157">
        <v>1485.9</v>
      </c>
      <c r="H34" s="157">
        <v>1436</v>
      </c>
      <c r="I34" s="157">
        <v>809</v>
      </c>
      <c r="J34" s="157">
        <v>1280.3</v>
      </c>
    </row>
    <row r="35" spans="2:10" ht="7.5" customHeight="1">
      <c r="B35" s="237"/>
      <c r="C35" s="153"/>
      <c r="D35" s="153"/>
      <c r="E35" s="153"/>
      <c r="F35" s="153"/>
      <c r="G35" s="153"/>
      <c r="H35" s="153"/>
      <c r="I35" s="153"/>
      <c r="J35" s="153"/>
    </row>
    <row r="36" spans="1:10" ht="16.5" customHeight="1">
      <c r="A36" s="171" t="s">
        <v>647</v>
      </c>
      <c r="B36" s="217">
        <v>6355.9</v>
      </c>
      <c r="C36" s="157">
        <v>5796.2</v>
      </c>
      <c r="D36" s="218">
        <v>5969</v>
      </c>
      <c r="E36" s="218">
        <v>2766.8</v>
      </c>
      <c r="F36" s="218">
        <v>1688.8</v>
      </c>
      <c r="G36" s="157">
        <v>1945.4</v>
      </c>
      <c r="H36" s="157">
        <v>1381.6</v>
      </c>
      <c r="I36" s="157">
        <v>734.5</v>
      </c>
      <c r="J36" s="157">
        <v>2032.3</v>
      </c>
    </row>
    <row r="37" spans="1:10" ht="18" customHeight="1">
      <c r="A37" s="143"/>
      <c r="B37" s="238"/>
      <c r="C37" s="239"/>
      <c r="D37" s="239"/>
      <c r="E37" s="239"/>
      <c r="F37" s="239"/>
      <c r="G37" s="239"/>
      <c r="H37" s="239"/>
      <c r="I37" s="239"/>
      <c r="J37" s="239"/>
    </row>
    <row r="38" spans="1:10" ht="18" customHeight="1">
      <c r="A38" s="216" t="s">
        <v>648</v>
      </c>
      <c r="B38" s="217">
        <v>77.9</v>
      </c>
      <c r="C38" s="157">
        <v>77.4</v>
      </c>
      <c r="D38" s="157">
        <v>80.7</v>
      </c>
      <c r="E38" s="157">
        <v>33.7</v>
      </c>
      <c r="F38" s="157">
        <v>18.1</v>
      </c>
      <c r="G38" s="157">
        <v>21.6</v>
      </c>
      <c r="H38" s="157">
        <v>21.2</v>
      </c>
      <c r="I38" s="157">
        <v>19.8</v>
      </c>
      <c r="J38" s="157">
        <v>13.9</v>
      </c>
    </row>
    <row r="39" spans="1:10" ht="18" customHeight="1">
      <c r="A39" s="216" t="s">
        <v>649</v>
      </c>
      <c r="B39" s="237"/>
      <c r="C39" s="153"/>
      <c r="D39" s="153"/>
      <c r="E39" s="153"/>
      <c r="F39" s="153"/>
      <c r="G39" s="153"/>
      <c r="H39" s="153"/>
      <c r="I39" s="153"/>
      <c r="J39" s="153"/>
    </row>
    <row r="40" spans="2:10" ht="7.5" customHeight="1">
      <c r="B40" s="237"/>
      <c r="C40" s="153"/>
      <c r="D40" s="153"/>
      <c r="E40" s="153"/>
      <c r="F40" s="153"/>
      <c r="G40" s="153"/>
      <c r="H40" s="153"/>
      <c r="I40" s="153"/>
      <c r="J40" s="153"/>
    </row>
    <row r="41" spans="1:10" ht="18" customHeight="1">
      <c r="A41" s="176" t="s">
        <v>629</v>
      </c>
      <c r="B41" s="217">
        <v>94.1</v>
      </c>
      <c r="C41" s="157">
        <v>95.6</v>
      </c>
      <c r="D41" s="218">
        <v>103.1</v>
      </c>
      <c r="E41" s="218">
        <v>49.9</v>
      </c>
      <c r="F41" s="218">
        <v>39.5</v>
      </c>
      <c r="G41" s="157">
        <v>27.2</v>
      </c>
      <c r="H41" s="157">
        <v>16.4</v>
      </c>
      <c r="I41" s="157">
        <v>20</v>
      </c>
      <c r="J41" s="157">
        <v>29.9</v>
      </c>
    </row>
    <row r="42" spans="1:10" ht="18" customHeight="1">
      <c r="A42" s="8" t="s">
        <v>630</v>
      </c>
      <c r="B42" s="217">
        <v>104.1</v>
      </c>
      <c r="C42" s="157">
        <v>104.1</v>
      </c>
      <c r="D42" s="218">
        <v>102.9</v>
      </c>
      <c r="E42" s="218">
        <v>44.4</v>
      </c>
      <c r="F42" s="218">
        <v>13.6</v>
      </c>
      <c r="G42" s="157">
        <v>25.3</v>
      </c>
      <c r="H42" s="157">
        <v>35</v>
      </c>
      <c r="I42" s="157">
        <v>29</v>
      </c>
      <c r="J42" s="157">
        <v>15.4</v>
      </c>
    </row>
    <row r="43" spans="1:10" ht="18" customHeight="1">
      <c r="A43" s="8" t="s">
        <v>631</v>
      </c>
      <c r="B43" s="217">
        <v>102.5</v>
      </c>
      <c r="C43" s="157">
        <v>104.1</v>
      </c>
      <c r="D43" s="218">
        <v>103.6</v>
      </c>
      <c r="E43" s="218">
        <v>46.3</v>
      </c>
      <c r="F43" s="218">
        <v>27.3</v>
      </c>
      <c r="G43" s="157">
        <v>29.1</v>
      </c>
      <c r="H43" s="157">
        <v>21.7</v>
      </c>
      <c r="I43" s="157">
        <v>25.5</v>
      </c>
      <c r="J43" s="157">
        <v>20.8</v>
      </c>
    </row>
    <row r="44" spans="1:10" ht="18" customHeight="1">
      <c r="A44" s="8" t="s">
        <v>632</v>
      </c>
      <c r="B44" s="217">
        <v>90.6</v>
      </c>
      <c r="C44" s="157">
        <v>91.9</v>
      </c>
      <c r="D44" s="218">
        <v>86.6</v>
      </c>
      <c r="E44" s="218">
        <v>52</v>
      </c>
      <c r="F44" s="218">
        <v>18.3</v>
      </c>
      <c r="G44" s="157">
        <v>28.3</v>
      </c>
      <c r="H44" s="157">
        <v>21.1</v>
      </c>
      <c r="I44" s="157">
        <v>18.9</v>
      </c>
      <c r="J44" s="157">
        <v>33.1</v>
      </c>
    </row>
    <row r="45" spans="1:10" ht="18" customHeight="1">
      <c r="A45" s="8" t="s">
        <v>633</v>
      </c>
      <c r="B45" s="217">
        <v>80</v>
      </c>
      <c r="C45" s="157">
        <v>77.9</v>
      </c>
      <c r="D45" s="218">
        <v>68.7</v>
      </c>
      <c r="E45" s="218">
        <v>33.2</v>
      </c>
      <c r="F45" s="218">
        <v>15.6</v>
      </c>
      <c r="G45" s="157">
        <v>17.7</v>
      </c>
      <c r="H45" s="157">
        <v>16.8</v>
      </c>
      <c r="I45" s="157">
        <v>18.6</v>
      </c>
      <c r="J45" s="157">
        <v>14.6</v>
      </c>
    </row>
    <row r="46" spans="1:10" ht="18" customHeight="1">
      <c r="A46" s="8" t="s">
        <v>634</v>
      </c>
      <c r="B46" s="217">
        <v>37.8</v>
      </c>
      <c r="C46" s="157">
        <v>37.2</v>
      </c>
      <c r="D46" s="218">
        <v>41.7</v>
      </c>
      <c r="E46" s="218">
        <v>7.9</v>
      </c>
      <c r="F46" s="218">
        <v>5.2</v>
      </c>
      <c r="G46" s="157">
        <v>9.1</v>
      </c>
      <c r="H46" s="157">
        <v>19.8</v>
      </c>
      <c r="I46" s="157">
        <v>7.6</v>
      </c>
      <c r="J46" s="157">
        <v>0.3000000000000007</v>
      </c>
    </row>
    <row r="47" spans="1:10" ht="18" customHeight="1">
      <c r="A47" s="171" t="s">
        <v>635</v>
      </c>
      <c r="B47" s="217">
        <v>58.6</v>
      </c>
      <c r="C47" s="157">
        <v>55.7</v>
      </c>
      <c r="D47" s="218">
        <v>67.2</v>
      </c>
      <c r="E47" s="218">
        <v>25.5</v>
      </c>
      <c r="F47" s="218">
        <v>12.4</v>
      </c>
      <c r="G47" s="157">
        <v>18</v>
      </c>
      <c r="H47" s="157">
        <v>18.7</v>
      </c>
      <c r="I47" s="157">
        <v>18.1</v>
      </c>
      <c r="J47" s="157">
        <v>7.4</v>
      </c>
    </row>
    <row r="48" spans="1:10" ht="7.5" customHeight="1">
      <c r="A48" s="34"/>
      <c r="B48" s="233"/>
      <c r="C48" s="187"/>
      <c r="D48" s="187"/>
      <c r="E48" s="187"/>
      <c r="F48" s="187"/>
      <c r="G48" s="187"/>
      <c r="H48" s="187"/>
      <c r="I48" s="187"/>
      <c r="J48" s="187"/>
    </row>
    <row r="49" spans="2:9" ht="7.5" customHeight="1">
      <c r="B49" s="8"/>
      <c r="C49" s="8"/>
      <c r="D49" s="8"/>
      <c r="E49" s="8"/>
      <c r="F49" s="8"/>
      <c r="G49" s="8"/>
      <c r="H49" s="8"/>
      <c r="I49" s="8"/>
    </row>
    <row r="50" spans="1:11" ht="18" customHeight="1">
      <c r="A50" s="229" t="s">
        <v>650</v>
      </c>
      <c r="B50" s="24"/>
      <c r="C50" s="24"/>
      <c r="D50" s="24"/>
      <c r="E50" s="240"/>
      <c r="F50" s="240"/>
      <c r="G50" s="143"/>
      <c r="H50" s="240"/>
      <c r="I50" s="240"/>
      <c r="J50" s="240"/>
      <c r="K50" s="240"/>
    </row>
    <row r="51" spans="1:11" ht="18" customHeight="1">
      <c r="A51" s="241" t="s">
        <v>651</v>
      </c>
      <c r="B51" s="24"/>
      <c r="C51" s="24"/>
      <c r="D51" s="24"/>
      <c r="E51" s="227"/>
      <c r="F51" s="227"/>
      <c r="G51" s="151"/>
      <c r="H51" s="227"/>
      <c r="I51" s="227"/>
      <c r="J51" s="227"/>
      <c r="K51" s="227"/>
    </row>
    <row r="52" spans="1:11" ht="18" customHeight="1">
      <c r="A52" s="242" t="s">
        <v>652</v>
      </c>
      <c r="B52" s="24"/>
      <c r="C52" s="24"/>
      <c r="D52" s="24"/>
      <c r="E52" s="227"/>
      <c r="F52" s="227"/>
      <c r="G52" s="151"/>
      <c r="H52" s="227"/>
      <c r="I52" s="227"/>
      <c r="J52" s="227"/>
      <c r="K52" s="227"/>
    </row>
    <row r="53" spans="1:11" ht="18" customHeight="1">
      <c r="A53" s="242" t="s">
        <v>653</v>
      </c>
      <c r="B53" s="24"/>
      <c r="C53" s="24"/>
      <c r="D53" s="24"/>
      <c r="E53" s="227"/>
      <c r="F53" s="227"/>
      <c r="G53" s="151"/>
      <c r="H53" s="227"/>
      <c r="I53" s="227"/>
      <c r="J53" s="227"/>
      <c r="K53" s="227"/>
    </row>
    <row r="54" spans="1:11" ht="18" customHeight="1">
      <c r="A54" s="242" t="s">
        <v>654</v>
      </c>
      <c r="B54" s="24"/>
      <c r="C54" s="24"/>
      <c r="D54" s="24"/>
      <c r="E54" s="227"/>
      <c r="F54" s="227"/>
      <c r="G54" s="151"/>
      <c r="H54" s="227"/>
      <c r="I54" s="227"/>
      <c r="J54" s="227"/>
      <c r="K54" s="227"/>
    </row>
    <row r="55" spans="1:11" ht="18" customHeight="1">
      <c r="A55" s="241" t="s">
        <v>655</v>
      </c>
      <c r="B55" s="24"/>
      <c r="C55" s="24"/>
      <c r="D55" s="24"/>
      <c r="E55" s="227"/>
      <c r="F55" s="227"/>
      <c r="G55" s="151"/>
      <c r="H55" s="227"/>
      <c r="I55" s="227"/>
      <c r="J55" s="227"/>
      <c r="K55" s="227"/>
    </row>
    <row r="56" spans="1:11" ht="18" customHeight="1">
      <c r="A56" s="241" t="s">
        <v>656</v>
      </c>
      <c r="B56" s="24"/>
      <c r="C56" s="24"/>
      <c r="D56" s="24"/>
      <c r="E56" s="227"/>
      <c r="F56" s="227"/>
      <c r="G56" s="151"/>
      <c r="H56" s="227"/>
      <c r="I56" s="227"/>
      <c r="J56" s="227"/>
      <c r="K56" s="227"/>
    </row>
    <row r="57" spans="1:11" ht="18" customHeight="1">
      <c r="A57" s="230" t="s">
        <v>657</v>
      </c>
      <c r="B57" s="24"/>
      <c r="C57" s="24"/>
      <c r="D57" s="24"/>
      <c r="E57" s="227"/>
      <c r="F57" s="227"/>
      <c r="G57" s="151"/>
      <c r="H57" s="227"/>
      <c r="I57" s="227"/>
      <c r="J57" s="227"/>
      <c r="K57" s="227"/>
    </row>
  </sheetData>
  <mergeCells count="3"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U6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3.25390625" style="57" customWidth="1"/>
    <col min="2" max="3" width="7.625" style="57" customWidth="1"/>
    <col min="4" max="4" width="8.125" style="57" customWidth="1"/>
    <col min="5" max="9" width="7.625" style="57" customWidth="1"/>
    <col min="10" max="16384" width="9.00390625" style="57" customWidth="1"/>
  </cols>
  <sheetData>
    <row r="1" ht="16.5">
      <c r="A1" s="58" t="s">
        <v>658</v>
      </c>
    </row>
    <row r="2" ht="15.75">
      <c r="A2" s="243"/>
    </row>
    <row r="4" ht="16.5">
      <c r="A4" s="57" t="s">
        <v>659</v>
      </c>
    </row>
    <row r="5" ht="15" customHeight="1"/>
    <row r="6" spans="1:9" ht="15" customHeight="1">
      <c r="A6" s="244"/>
      <c r="B6" s="566">
        <v>1998</v>
      </c>
      <c r="C6" s="568">
        <v>1999</v>
      </c>
      <c r="D6" s="570">
        <v>2000</v>
      </c>
      <c r="E6" s="38">
        <v>2000</v>
      </c>
      <c r="F6" s="38">
        <v>2000</v>
      </c>
      <c r="G6" s="38">
        <v>2000</v>
      </c>
      <c r="H6" s="38">
        <v>2001</v>
      </c>
      <c r="I6" s="38">
        <v>2001</v>
      </c>
    </row>
    <row r="7" spans="1:9" ht="15" customHeight="1">
      <c r="A7" s="245"/>
      <c r="B7" s="572"/>
      <c r="C7" s="573"/>
      <c r="D7" s="583"/>
      <c r="E7" s="66" t="s">
        <v>660</v>
      </c>
      <c r="F7" s="66" t="s">
        <v>661</v>
      </c>
      <c r="G7" s="66" t="s">
        <v>662</v>
      </c>
      <c r="H7" s="66" t="s">
        <v>663</v>
      </c>
      <c r="I7" s="246" t="s">
        <v>660</v>
      </c>
    </row>
    <row r="8" spans="1:9" ht="6.75" customHeight="1">
      <c r="A8" s="247"/>
      <c r="B8" s="567"/>
      <c r="C8" s="569"/>
      <c r="D8" s="571"/>
      <c r="E8" s="248"/>
      <c r="F8" s="248"/>
      <c r="G8" s="248"/>
      <c r="H8" s="248"/>
      <c r="I8" s="248"/>
    </row>
    <row r="9" spans="2:5" ht="9.75" customHeight="1">
      <c r="B9" s="249"/>
      <c r="D9" s="250"/>
      <c r="E9" s="250"/>
    </row>
    <row r="10" spans="1:5" ht="15" customHeight="1">
      <c r="A10" s="251" t="s">
        <v>664</v>
      </c>
      <c r="B10" s="249"/>
      <c r="D10" s="56"/>
      <c r="E10" s="56"/>
    </row>
    <row r="11" spans="2:5" ht="3.75" customHeight="1">
      <c r="B11" s="249"/>
      <c r="D11" s="56"/>
      <c r="E11" s="56"/>
    </row>
    <row r="12" spans="1:9" ht="15" customHeight="1">
      <c r="A12" s="252" t="s">
        <v>665</v>
      </c>
      <c r="B12" s="253"/>
      <c r="C12" s="44"/>
      <c r="D12" s="105"/>
      <c r="E12" s="105"/>
      <c r="F12" s="44"/>
      <c r="G12" s="44"/>
      <c r="H12" s="44"/>
      <c r="I12" s="44"/>
    </row>
    <row r="13" spans="1:9" ht="15" customHeight="1">
      <c r="A13" s="254" t="s">
        <v>666</v>
      </c>
      <c r="B13" s="255">
        <v>4.42</v>
      </c>
      <c r="C13" s="79">
        <v>4.56</v>
      </c>
      <c r="D13" s="79">
        <f>SUM(E13:H13)/4</f>
        <v>4.2875</v>
      </c>
      <c r="E13" s="79">
        <v>4.71</v>
      </c>
      <c r="F13" s="79">
        <v>4.3</v>
      </c>
      <c r="G13" s="79">
        <v>4.1</v>
      </c>
      <c r="H13" s="79">
        <v>4.04</v>
      </c>
      <c r="I13" s="79">
        <v>3.9</v>
      </c>
    </row>
    <row r="14" spans="1:9" ht="15" customHeight="1">
      <c r="A14" s="254" t="s">
        <v>667</v>
      </c>
      <c r="B14" s="255">
        <v>2.64</v>
      </c>
      <c r="C14" s="79">
        <v>2.09</v>
      </c>
      <c r="D14" s="79">
        <f>SUM(E14:H14)/4</f>
        <v>2.4899999999999998</v>
      </c>
      <c r="E14" s="79">
        <v>2.53</v>
      </c>
      <c r="F14" s="79">
        <v>2.5</v>
      </c>
      <c r="G14" s="79">
        <v>2.43</v>
      </c>
      <c r="H14" s="79">
        <v>2.5</v>
      </c>
      <c r="I14" s="79">
        <v>2.53</v>
      </c>
    </row>
    <row r="15" spans="1:9" ht="15" customHeight="1">
      <c r="A15" s="254" t="s">
        <v>668</v>
      </c>
      <c r="B15" s="255">
        <v>2.33</v>
      </c>
      <c r="C15" s="79">
        <v>2.03</v>
      </c>
      <c r="D15" s="79">
        <f>SUM(E15:H15)/4</f>
        <v>2.9925</v>
      </c>
      <c r="E15" s="79">
        <v>3.52</v>
      </c>
      <c r="F15" s="79">
        <v>3.52</v>
      </c>
      <c r="G15" s="79">
        <v>2.43</v>
      </c>
      <c r="H15" s="79">
        <v>2.5</v>
      </c>
      <c r="I15" s="79">
        <v>1.51</v>
      </c>
    </row>
    <row r="16" spans="1:9" ht="15" customHeight="1">
      <c r="A16" s="254" t="s">
        <v>669</v>
      </c>
      <c r="B16" s="255">
        <v>2.91</v>
      </c>
      <c r="C16" s="79">
        <v>3.43</v>
      </c>
      <c r="D16" s="79">
        <f>SUM(E16:H16)/4</f>
        <v>3.0349999999999997</v>
      </c>
      <c r="E16" s="79">
        <v>2.53</v>
      </c>
      <c r="F16" s="79">
        <v>2.82</v>
      </c>
      <c r="G16" s="79">
        <v>3.87</v>
      </c>
      <c r="H16" s="79">
        <v>2.92</v>
      </c>
      <c r="I16" s="79">
        <v>2.49</v>
      </c>
    </row>
    <row r="17" spans="1:9" ht="3.75" customHeight="1">
      <c r="A17" s="254"/>
      <c r="B17" s="253"/>
      <c r="C17" s="44"/>
      <c r="D17" s="105"/>
      <c r="E17" s="105"/>
      <c r="F17" s="44"/>
      <c r="G17" s="44"/>
      <c r="H17" s="44"/>
      <c r="I17" s="44"/>
    </row>
    <row r="18" spans="1:9" ht="15" customHeight="1">
      <c r="A18" s="252" t="s">
        <v>670</v>
      </c>
      <c r="B18" s="253"/>
      <c r="C18" s="44"/>
      <c r="D18" s="105"/>
      <c r="E18" s="105"/>
      <c r="F18" s="44"/>
      <c r="G18" s="44"/>
      <c r="H18" s="44"/>
      <c r="I18" s="44"/>
    </row>
    <row r="19" spans="1:10" ht="15" customHeight="1">
      <c r="A19" s="128" t="s">
        <v>671</v>
      </c>
      <c r="B19" s="255">
        <v>63.2</v>
      </c>
      <c r="C19" s="79">
        <v>66.1</v>
      </c>
      <c r="D19" s="79">
        <f>SUM(E19:H19)/4</f>
        <v>62.824999999999996</v>
      </c>
      <c r="E19" s="79">
        <v>63.5</v>
      </c>
      <c r="F19" s="79">
        <v>66.6</v>
      </c>
      <c r="G19" s="79">
        <v>67.1</v>
      </c>
      <c r="H19" s="79">
        <v>54.1</v>
      </c>
      <c r="I19" s="79">
        <v>47.2</v>
      </c>
      <c r="J19" s="256"/>
    </row>
    <row r="20" spans="1:10" ht="15" customHeight="1">
      <c r="A20" s="128" t="s">
        <v>672</v>
      </c>
      <c r="B20" s="255">
        <v>62.9</v>
      </c>
      <c r="C20" s="79">
        <v>53.9</v>
      </c>
      <c r="D20" s="79">
        <f>SUM(E20:H20)/4</f>
        <v>43.525</v>
      </c>
      <c r="E20" s="79">
        <v>51.4</v>
      </c>
      <c r="F20" s="79">
        <v>37.1</v>
      </c>
      <c r="G20" s="79">
        <v>42.5</v>
      </c>
      <c r="H20" s="79">
        <v>43.1</v>
      </c>
      <c r="I20" s="79">
        <v>35.3</v>
      </c>
      <c r="J20" s="256"/>
    </row>
    <row r="21" spans="1:255" s="56" customFormat="1" ht="15" customHeight="1">
      <c r="A21" s="128" t="s">
        <v>673</v>
      </c>
      <c r="B21" s="255">
        <v>2.8</v>
      </c>
      <c r="C21" s="79">
        <v>0.1</v>
      </c>
      <c r="D21" s="79">
        <f>SUM(E21:H21)/4</f>
        <v>1.8499999999999999</v>
      </c>
      <c r="E21" s="79">
        <v>2.1</v>
      </c>
      <c r="F21" s="79">
        <v>2.5</v>
      </c>
      <c r="G21" s="79">
        <v>1.5</v>
      </c>
      <c r="H21" s="79">
        <v>1.3</v>
      </c>
      <c r="I21" s="79">
        <v>2.7</v>
      </c>
      <c r="J21" s="256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</row>
    <row r="22" spans="1:255" s="56" customFormat="1" ht="15" customHeight="1">
      <c r="A22" s="128" t="s">
        <v>674</v>
      </c>
      <c r="B22" s="255">
        <v>-0.1</v>
      </c>
      <c r="C22" s="79">
        <v>0.1</v>
      </c>
      <c r="D22" s="79">
        <f>SUM(E22:H22)/4</f>
        <v>-3.9</v>
      </c>
      <c r="E22" s="79">
        <v>-4.8</v>
      </c>
      <c r="F22" s="79">
        <v>-3.6</v>
      </c>
      <c r="G22" s="79">
        <v>-3.1</v>
      </c>
      <c r="H22" s="79">
        <v>-4.1</v>
      </c>
      <c r="I22" s="79">
        <v>-4.1</v>
      </c>
      <c r="J22" s="256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</row>
    <row r="23" spans="1:9" ht="15" customHeight="1">
      <c r="A23" s="254" t="s">
        <v>675</v>
      </c>
      <c r="B23" s="255">
        <v>-5.3</v>
      </c>
      <c r="C23" s="79">
        <v>-5.3</v>
      </c>
      <c r="D23" s="79">
        <f>SUM(E23:H23)/4</f>
        <v>-1.975</v>
      </c>
      <c r="E23" s="88" t="s">
        <v>676</v>
      </c>
      <c r="F23" s="79">
        <v>-1.8</v>
      </c>
      <c r="G23" s="79">
        <v>-1.4</v>
      </c>
      <c r="H23" s="79">
        <v>-4.7</v>
      </c>
      <c r="I23" s="79">
        <v>-8.5</v>
      </c>
    </row>
    <row r="24" spans="2:9" ht="15" customHeight="1">
      <c r="B24" s="253"/>
      <c r="C24" s="44"/>
      <c r="D24" s="105"/>
      <c r="E24" s="105"/>
      <c r="F24" s="44"/>
      <c r="G24" s="44"/>
      <c r="H24" s="44"/>
      <c r="I24" s="44"/>
    </row>
    <row r="25" spans="1:9" ht="16.5">
      <c r="A25" s="252" t="s">
        <v>677</v>
      </c>
      <c r="B25" s="253"/>
      <c r="C25" s="44"/>
      <c r="D25" s="105"/>
      <c r="E25" s="105"/>
      <c r="F25" s="44"/>
      <c r="G25" s="44"/>
      <c r="H25" s="44"/>
      <c r="I25" s="44"/>
    </row>
    <row r="26" spans="1:9" ht="3.75" customHeight="1">
      <c r="A26" s="257"/>
      <c r="B26" s="253"/>
      <c r="C26" s="44"/>
      <c r="D26" s="105"/>
      <c r="E26" s="105"/>
      <c r="F26" s="44"/>
      <c r="G26" s="44"/>
      <c r="H26" s="44"/>
      <c r="I26" s="44"/>
    </row>
    <row r="27" spans="1:9" ht="15" customHeight="1">
      <c r="A27" s="44" t="s">
        <v>678</v>
      </c>
      <c r="B27" s="253"/>
      <c r="C27" s="44"/>
      <c r="D27" s="105"/>
      <c r="E27" s="105"/>
      <c r="F27" s="44"/>
      <c r="G27" s="44"/>
      <c r="H27" s="44"/>
      <c r="I27" s="44"/>
    </row>
    <row r="28" spans="1:9" ht="15" customHeight="1">
      <c r="A28" s="44" t="s">
        <v>679</v>
      </c>
      <c r="B28" s="255">
        <v>4.9</v>
      </c>
      <c r="C28" s="79">
        <v>7.8</v>
      </c>
      <c r="D28" s="79">
        <f>SUM(E28:H28)/4</f>
        <v>9.15</v>
      </c>
      <c r="E28" s="79">
        <v>11.9</v>
      </c>
      <c r="F28" s="79">
        <v>8.9</v>
      </c>
      <c r="G28" s="79">
        <v>6</v>
      </c>
      <c r="H28" s="79">
        <v>9.8</v>
      </c>
      <c r="I28" s="79">
        <v>7.2</v>
      </c>
    </row>
    <row r="29" spans="1:9" ht="15" customHeight="1">
      <c r="A29" s="44" t="s">
        <v>680</v>
      </c>
      <c r="B29" s="255">
        <v>54.3</v>
      </c>
      <c r="C29" s="79">
        <v>46.2</v>
      </c>
      <c r="D29" s="79">
        <f>SUM(E29:H29)/4</f>
        <v>32.85</v>
      </c>
      <c r="E29" s="79">
        <v>36.4</v>
      </c>
      <c r="F29" s="79">
        <v>35</v>
      </c>
      <c r="G29" s="79">
        <v>36.9</v>
      </c>
      <c r="H29" s="79">
        <v>23.1</v>
      </c>
      <c r="I29" s="79">
        <v>30.9</v>
      </c>
    </row>
    <row r="30" spans="1:9" ht="15" customHeight="1">
      <c r="A30" s="44" t="s">
        <v>681</v>
      </c>
      <c r="B30" s="255">
        <v>28.8</v>
      </c>
      <c r="C30" s="79">
        <v>31.8</v>
      </c>
      <c r="D30" s="79">
        <f>SUM(E30:H30)/4</f>
        <v>41.3</v>
      </c>
      <c r="E30" s="79">
        <v>42.3</v>
      </c>
      <c r="F30" s="79">
        <v>42.3</v>
      </c>
      <c r="G30" s="79">
        <v>43.5</v>
      </c>
      <c r="H30" s="79">
        <v>37.1</v>
      </c>
      <c r="I30" s="79">
        <v>37</v>
      </c>
    </row>
    <row r="31" spans="1:9" ht="15" customHeight="1">
      <c r="A31" s="44" t="s">
        <v>682</v>
      </c>
      <c r="B31" s="255">
        <v>6.7</v>
      </c>
      <c r="C31" s="79">
        <v>9.4</v>
      </c>
      <c r="D31" s="79">
        <f>SUM(E31:H31)/4</f>
        <v>11.4</v>
      </c>
      <c r="E31" s="79">
        <v>6.9</v>
      </c>
      <c r="F31" s="79">
        <v>9.2</v>
      </c>
      <c r="G31" s="79">
        <v>7.8</v>
      </c>
      <c r="H31" s="79">
        <v>21.7</v>
      </c>
      <c r="I31" s="79">
        <v>17.3</v>
      </c>
    </row>
    <row r="32" spans="1:9" ht="15" customHeight="1">
      <c r="A32" s="44" t="s">
        <v>683</v>
      </c>
      <c r="B32" s="255">
        <v>5.4</v>
      </c>
      <c r="C32" s="79">
        <v>4.8</v>
      </c>
      <c r="D32" s="79">
        <f>SUM(E32:H32)/4</f>
        <v>5.275</v>
      </c>
      <c r="E32" s="79">
        <v>2.5</v>
      </c>
      <c r="F32" s="79">
        <v>4.6</v>
      </c>
      <c r="G32" s="79">
        <v>5.7</v>
      </c>
      <c r="H32" s="79">
        <v>8.3</v>
      </c>
      <c r="I32" s="79">
        <v>7.5</v>
      </c>
    </row>
    <row r="33" spans="1:9" ht="3.75" customHeight="1">
      <c r="A33" s="44"/>
      <c r="B33" s="253"/>
      <c r="C33" s="44"/>
      <c r="D33" s="105"/>
      <c r="E33" s="105"/>
      <c r="F33" s="44"/>
      <c r="G33" s="44"/>
      <c r="H33" s="44"/>
      <c r="I33" s="44"/>
    </row>
    <row r="34" spans="1:9" ht="15" customHeight="1">
      <c r="A34" s="44" t="s">
        <v>684</v>
      </c>
      <c r="B34" s="253"/>
      <c r="C34" s="44"/>
      <c r="D34" s="105"/>
      <c r="E34" s="105"/>
      <c r="F34" s="44"/>
      <c r="G34" s="44"/>
      <c r="H34" s="44"/>
      <c r="I34" s="44"/>
    </row>
    <row r="35" spans="1:9" ht="15" customHeight="1">
      <c r="A35" s="44" t="s">
        <v>679</v>
      </c>
      <c r="B35" s="255">
        <v>4.3</v>
      </c>
      <c r="C35" s="88" t="s">
        <v>676</v>
      </c>
      <c r="D35" s="88" t="s">
        <v>676</v>
      </c>
      <c r="E35" s="88" t="s">
        <v>676</v>
      </c>
      <c r="F35" s="88" t="s">
        <v>676</v>
      </c>
      <c r="G35" s="88" t="s">
        <v>676</v>
      </c>
      <c r="H35" s="88" t="s">
        <v>676</v>
      </c>
      <c r="I35" s="88" t="s">
        <v>676</v>
      </c>
    </row>
    <row r="36" spans="1:9" ht="15" customHeight="1">
      <c r="A36" s="44" t="s">
        <v>680</v>
      </c>
      <c r="B36" s="258" t="s">
        <v>676</v>
      </c>
      <c r="C36" s="79">
        <v>0.6</v>
      </c>
      <c r="D36" s="88" t="s">
        <v>676</v>
      </c>
      <c r="E36" s="88" t="s">
        <v>676</v>
      </c>
      <c r="F36" s="88" t="s">
        <v>676</v>
      </c>
      <c r="G36" s="88" t="s">
        <v>676</v>
      </c>
      <c r="H36" s="88" t="s">
        <v>676</v>
      </c>
      <c r="I36" s="88" t="s">
        <v>676</v>
      </c>
    </row>
    <row r="37" spans="1:9" ht="15" customHeight="1">
      <c r="A37" s="44" t="s">
        <v>681</v>
      </c>
      <c r="B37" s="255">
        <v>85.2</v>
      </c>
      <c r="C37" s="79">
        <v>81.2</v>
      </c>
      <c r="D37" s="79">
        <f>SUM(E37:H37)/4</f>
        <v>100</v>
      </c>
      <c r="E37" s="79">
        <v>100</v>
      </c>
      <c r="F37" s="79">
        <v>100</v>
      </c>
      <c r="G37" s="79">
        <v>100</v>
      </c>
      <c r="H37" s="79">
        <v>100</v>
      </c>
      <c r="I37" s="79">
        <v>100</v>
      </c>
    </row>
    <row r="38" spans="1:9" ht="15" customHeight="1">
      <c r="A38" s="44" t="s">
        <v>682</v>
      </c>
      <c r="B38" s="255">
        <v>2.4</v>
      </c>
      <c r="C38" s="79">
        <v>0.8</v>
      </c>
      <c r="D38" s="88" t="s">
        <v>676</v>
      </c>
      <c r="E38" s="88" t="s">
        <v>676</v>
      </c>
      <c r="F38" s="88" t="s">
        <v>676</v>
      </c>
      <c r="G38" s="88" t="s">
        <v>676</v>
      </c>
      <c r="H38" s="88" t="s">
        <v>676</v>
      </c>
      <c r="I38" s="88" t="s">
        <v>676</v>
      </c>
    </row>
    <row r="39" spans="1:9" ht="15" customHeight="1">
      <c r="A39" s="44" t="s">
        <v>683</v>
      </c>
      <c r="B39" s="255">
        <v>8.2</v>
      </c>
      <c r="C39" s="79">
        <v>17.5</v>
      </c>
      <c r="D39" s="88" t="s">
        <v>676</v>
      </c>
      <c r="E39" s="88" t="s">
        <v>676</v>
      </c>
      <c r="F39" s="88" t="s">
        <v>676</v>
      </c>
      <c r="G39" s="88" t="s">
        <v>676</v>
      </c>
      <c r="H39" s="88" t="s">
        <v>676</v>
      </c>
      <c r="I39" s="88" t="s">
        <v>676</v>
      </c>
    </row>
    <row r="40" spans="1:9" ht="3.75" customHeight="1">
      <c r="A40" s="44"/>
      <c r="B40" s="253"/>
      <c r="C40" s="44"/>
      <c r="D40" s="105"/>
      <c r="E40" s="105"/>
      <c r="F40" s="44"/>
      <c r="G40" s="44"/>
      <c r="H40" s="44"/>
      <c r="I40" s="44"/>
    </row>
    <row r="41" spans="1:9" ht="15" customHeight="1">
      <c r="A41" s="44" t="s">
        <v>685</v>
      </c>
      <c r="B41" s="253"/>
      <c r="C41" s="44"/>
      <c r="D41" s="105"/>
      <c r="E41" s="105"/>
      <c r="F41" s="44"/>
      <c r="G41" s="44"/>
      <c r="H41" s="44"/>
      <c r="I41" s="44"/>
    </row>
    <row r="42" spans="1:9" ht="15" customHeight="1">
      <c r="A42" s="44" t="s">
        <v>679</v>
      </c>
      <c r="B42" s="258" t="s">
        <v>676</v>
      </c>
      <c r="C42" s="88" t="s">
        <v>676</v>
      </c>
      <c r="D42" s="88" t="s">
        <v>676</v>
      </c>
      <c r="E42" s="88" t="s">
        <v>676</v>
      </c>
      <c r="F42" s="88" t="s">
        <v>676</v>
      </c>
      <c r="G42" s="88" t="s">
        <v>676</v>
      </c>
      <c r="H42" s="88" t="s">
        <v>676</v>
      </c>
      <c r="I42" s="88" t="s">
        <v>676</v>
      </c>
    </row>
    <row r="43" spans="1:9" ht="15" customHeight="1">
      <c r="A43" s="44" t="s">
        <v>680</v>
      </c>
      <c r="B43" s="255">
        <v>8.5</v>
      </c>
      <c r="C43" s="79">
        <v>52.2</v>
      </c>
      <c r="D43" s="79">
        <f>SUM(E43:H43)/4</f>
        <v>25</v>
      </c>
      <c r="E43" s="79">
        <v>100</v>
      </c>
      <c r="F43" s="88" t="s">
        <v>676</v>
      </c>
      <c r="G43" s="88" t="s">
        <v>676</v>
      </c>
      <c r="H43" s="88" t="s">
        <v>676</v>
      </c>
      <c r="I43" s="88" t="s">
        <v>676</v>
      </c>
    </row>
    <row r="44" spans="1:9" ht="15" customHeight="1">
      <c r="A44" s="44" t="s">
        <v>681</v>
      </c>
      <c r="B44" s="255">
        <v>62.3</v>
      </c>
      <c r="C44" s="79">
        <v>47.8</v>
      </c>
      <c r="D44" s="79">
        <f>SUM(E44:H44)/4</f>
        <v>72.075</v>
      </c>
      <c r="E44" s="88" t="s">
        <v>676</v>
      </c>
      <c r="F44" s="79">
        <v>100</v>
      </c>
      <c r="G44" s="79">
        <v>100</v>
      </c>
      <c r="H44" s="79">
        <v>88.3</v>
      </c>
      <c r="I44" s="79">
        <v>88.3</v>
      </c>
    </row>
    <row r="45" spans="1:9" ht="15" customHeight="1">
      <c r="A45" s="44" t="s">
        <v>682</v>
      </c>
      <c r="B45" s="255">
        <v>8.5</v>
      </c>
      <c r="C45" s="88" t="s">
        <v>676</v>
      </c>
      <c r="D45" s="88" t="s">
        <v>676</v>
      </c>
      <c r="E45" s="88" t="s">
        <v>676</v>
      </c>
      <c r="F45" s="88" t="s">
        <v>676</v>
      </c>
      <c r="G45" s="88" t="s">
        <v>676</v>
      </c>
      <c r="H45" s="88" t="s">
        <v>676</v>
      </c>
      <c r="I45" s="79">
        <v>11.7</v>
      </c>
    </row>
    <row r="46" spans="1:9" ht="15" customHeight="1">
      <c r="A46" s="44" t="s">
        <v>683</v>
      </c>
      <c r="B46" s="255">
        <v>20.8</v>
      </c>
      <c r="C46" s="88" t="s">
        <v>676</v>
      </c>
      <c r="D46" s="79">
        <f>SUM(E46:H46)/4</f>
        <v>2.925</v>
      </c>
      <c r="E46" s="88" t="s">
        <v>676</v>
      </c>
      <c r="F46" s="88" t="s">
        <v>676</v>
      </c>
      <c r="G46" s="88" t="s">
        <v>676</v>
      </c>
      <c r="H46" s="79">
        <v>11.7</v>
      </c>
      <c r="I46" s="88" t="s">
        <v>676</v>
      </c>
    </row>
    <row r="47" spans="1:9" ht="3.75" customHeight="1">
      <c r="A47" s="44"/>
      <c r="B47" s="253"/>
      <c r="C47" s="44"/>
      <c r="D47" s="105"/>
      <c r="E47" s="105"/>
      <c r="F47" s="44"/>
      <c r="G47" s="44"/>
      <c r="H47" s="44"/>
      <c r="I47" s="44"/>
    </row>
    <row r="48" spans="1:9" ht="15" customHeight="1">
      <c r="A48" s="44" t="s">
        <v>686</v>
      </c>
      <c r="B48" s="253"/>
      <c r="C48" s="44"/>
      <c r="D48" s="105"/>
      <c r="E48" s="105"/>
      <c r="F48" s="44"/>
      <c r="G48" s="44"/>
      <c r="H48" s="44"/>
      <c r="I48" s="44"/>
    </row>
    <row r="49" spans="1:9" ht="15" customHeight="1">
      <c r="A49" s="44" t="s">
        <v>679</v>
      </c>
      <c r="B49" s="258" t="s">
        <v>676</v>
      </c>
      <c r="C49" s="79">
        <v>33.9</v>
      </c>
      <c r="D49" s="79">
        <f>SUM(E49:H49)/4</f>
        <v>9.55</v>
      </c>
      <c r="E49" s="88" t="s">
        <v>676</v>
      </c>
      <c r="F49" s="79">
        <v>38.2</v>
      </c>
      <c r="G49" s="88" t="s">
        <v>676</v>
      </c>
      <c r="H49" s="88" t="s">
        <v>676</v>
      </c>
      <c r="I49" s="88" t="s">
        <v>676</v>
      </c>
    </row>
    <row r="50" spans="1:9" ht="15" customHeight="1">
      <c r="A50" s="44" t="s">
        <v>680</v>
      </c>
      <c r="B50" s="255">
        <v>54.6</v>
      </c>
      <c r="C50" s="79">
        <v>55.8</v>
      </c>
      <c r="D50" s="79">
        <f>SUM(E50:H50)/4</f>
        <v>13.1</v>
      </c>
      <c r="E50" s="88" t="s">
        <v>676</v>
      </c>
      <c r="F50" s="79">
        <v>25</v>
      </c>
      <c r="G50" s="88" t="s">
        <v>676</v>
      </c>
      <c r="H50" s="79">
        <v>27.4</v>
      </c>
      <c r="I50" s="79">
        <v>8.9</v>
      </c>
    </row>
    <row r="51" spans="1:9" ht="15" customHeight="1">
      <c r="A51" s="44" t="s">
        <v>681</v>
      </c>
      <c r="B51" s="255">
        <v>19.7</v>
      </c>
      <c r="C51" s="79">
        <v>2.9</v>
      </c>
      <c r="D51" s="79">
        <f>SUM(E51:H51)/4</f>
        <v>32.724999999999994</v>
      </c>
      <c r="E51" s="88" t="s">
        <v>676</v>
      </c>
      <c r="F51" s="79">
        <v>30.5</v>
      </c>
      <c r="G51" s="79">
        <v>65.6</v>
      </c>
      <c r="H51" s="79">
        <v>34.8</v>
      </c>
      <c r="I51" s="79">
        <v>91.1</v>
      </c>
    </row>
    <row r="52" spans="1:9" ht="15" customHeight="1">
      <c r="A52" s="44" t="s">
        <v>682</v>
      </c>
      <c r="B52" s="255">
        <v>25.7</v>
      </c>
      <c r="C52" s="79">
        <v>7.4</v>
      </c>
      <c r="D52" s="79">
        <f>SUM(E52:H52)/4</f>
        <v>34.75</v>
      </c>
      <c r="E52" s="79">
        <v>100</v>
      </c>
      <c r="F52" s="79">
        <v>1.2</v>
      </c>
      <c r="G52" s="88" t="s">
        <v>676</v>
      </c>
      <c r="H52" s="79">
        <v>37.8</v>
      </c>
      <c r="I52" s="88" t="s">
        <v>676</v>
      </c>
    </row>
    <row r="53" spans="1:9" ht="15" customHeight="1">
      <c r="A53" s="44" t="s">
        <v>683</v>
      </c>
      <c r="B53" s="258" t="s">
        <v>676</v>
      </c>
      <c r="C53" s="88" t="s">
        <v>676</v>
      </c>
      <c r="D53" s="79">
        <f>SUM(E53:H53)/4</f>
        <v>9.875</v>
      </c>
      <c r="E53" s="88" t="s">
        <v>676</v>
      </c>
      <c r="F53" s="79">
        <v>5.1</v>
      </c>
      <c r="G53" s="79">
        <v>34.4</v>
      </c>
      <c r="H53" s="88" t="s">
        <v>676</v>
      </c>
      <c r="I53" s="88" t="s">
        <v>676</v>
      </c>
    </row>
    <row r="54" spans="1:9" ht="9.75" customHeight="1">
      <c r="A54" s="259"/>
      <c r="B54" s="260"/>
      <c r="C54" s="259"/>
      <c r="D54" s="259"/>
      <c r="E54" s="259"/>
      <c r="F54" s="259"/>
      <c r="G54" s="259"/>
      <c r="H54" s="259"/>
      <c r="I54" s="259"/>
    </row>
    <row r="55" spans="1:9" ht="3.75" customHeight="1">
      <c r="A55" s="56"/>
      <c r="B55" s="56"/>
      <c r="C55" s="56"/>
      <c r="D55" s="56"/>
      <c r="E55" s="56"/>
      <c r="F55" s="56"/>
      <c r="G55" s="56"/>
      <c r="H55" s="56"/>
      <c r="I55" s="56"/>
    </row>
    <row r="56" spans="1:12" s="44" customFormat="1" ht="14.25">
      <c r="A56" s="261" t="s">
        <v>687</v>
      </c>
      <c r="H56" s="262"/>
      <c r="I56" s="262"/>
      <c r="J56" s="262"/>
      <c r="K56" s="262"/>
      <c r="L56" s="262"/>
    </row>
    <row r="57" spans="1:12" s="44" customFormat="1" ht="14.25">
      <c r="A57" s="261" t="s">
        <v>688</v>
      </c>
      <c r="H57" s="262"/>
      <c r="I57" s="262"/>
      <c r="J57" s="262"/>
      <c r="K57" s="262"/>
      <c r="L57" s="262"/>
    </row>
    <row r="58" spans="1:12" s="44" customFormat="1" ht="14.25">
      <c r="A58" s="263" t="s">
        <v>689</v>
      </c>
      <c r="H58" s="262"/>
      <c r="I58" s="262"/>
      <c r="J58" s="262"/>
      <c r="K58" s="262"/>
      <c r="L58" s="262"/>
    </row>
    <row r="59" s="265" customFormat="1" ht="15" customHeight="1">
      <c r="A59" s="264"/>
    </row>
    <row r="60" s="265" customFormat="1" ht="15" customHeight="1">
      <c r="A60" s="264"/>
    </row>
  </sheetData>
  <mergeCells count="3"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L48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3.875" style="7" customWidth="1"/>
    <col min="2" max="2" width="10.375" style="7" customWidth="1"/>
    <col min="3" max="3" width="8.125" style="2" customWidth="1"/>
    <col min="4" max="10" width="8.125" style="3" customWidth="1"/>
    <col min="11" max="11" width="8.125" style="2" customWidth="1"/>
    <col min="12" max="12" width="7.625" style="24" customWidth="1"/>
    <col min="13" max="16384" width="9.00390625" style="24" customWidth="1"/>
  </cols>
  <sheetData>
    <row r="1" spans="1:11" s="9" customFormat="1" ht="15" customHeight="1">
      <c r="A1" s="4" t="s">
        <v>690</v>
      </c>
      <c r="B1" s="4"/>
      <c r="C1" s="8"/>
      <c r="K1" s="8"/>
    </row>
    <row r="2" spans="1:11" s="9" customFormat="1" ht="15" customHeight="1">
      <c r="A2" s="4"/>
      <c r="B2" s="4"/>
      <c r="C2" s="8"/>
      <c r="K2" s="8"/>
    </row>
    <row r="3" spans="1:11" s="9" customFormat="1" ht="15" customHeight="1">
      <c r="A3" s="4"/>
      <c r="B3" s="4"/>
      <c r="C3" s="8"/>
      <c r="K3" s="8"/>
    </row>
    <row r="4" spans="1:11" s="9" customFormat="1" ht="15" customHeight="1">
      <c r="A4" s="2" t="s">
        <v>691</v>
      </c>
      <c r="B4" s="4"/>
      <c r="C4" s="8"/>
      <c r="K4" s="8"/>
    </row>
    <row r="5" spans="1:12" s="9" customFormat="1" ht="15" customHeight="1">
      <c r="A5" s="52"/>
      <c r="B5" s="52"/>
      <c r="C5" s="8"/>
      <c r="K5" s="8"/>
      <c r="L5" s="187"/>
    </row>
    <row r="6" spans="1:11" ht="15" customHeight="1">
      <c r="A6" s="132"/>
      <c r="B6" s="132"/>
      <c r="C6" s="566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3">
        <v>2001</v>
      </c>
    </row>
    <row r="7" spans="1:12" ht="15" customHeight="1">
      <c r="A7" s="143"/>
      <c r="B7" s="143"/>
      <c r="C7" s="572"/>
      <c r="D7" s="573"/>
      <c r="E7" s="573"/>
      <c r="F7" s="138" t="s">
        <v>481</v>
      </c>
      <c r="G7" s="139" t="s">
        <v>301</v>
      </c>
      <c r="H7" s="139" t="s">
        <v>302</v>
      </c>
      <c r="I7" s="139" t="s">
        <v>303</v>
      </c>
      <c r="J7" s="139" t="s">
        <v>304</v>
      </c>
      <c r="K7" s="161" t="s">
        <v>301</v>
      </c>
      <c r="L7" s="266" t="s">
        <v>692</v>
      </c>
    </row>
    <row r="8" spans="1:12" ht="15" customHeight="1">
      <c r="A8" s="141"/>
      <c r="B8" s="141"/>
      <c r="C8" s="567"/>
      <c r="D8" s="569"/>
      <c r="E8" s="569"/>
      <c r="F8" s="142" t="s">
        <v>301</v>
      </c>
      <c r="G8" s="19"/>
      <c r="H8" s="19"/>
      <c r="I8" s="19"/>
      <c r="J8" s="19"/>
      <c r="K8" s="163"/>
      <c r="L8" s="34"/>
    </row>
    <row r="9" spans="1:12" ht="9.75" customHeight="1">
      <c r="A9" s="143"/>
      <c r="B9" s="10"/>
      <c r="C9" s="50"/>
      <c r="D9" s="50"/>
      <c r="E9" s="50"/>
      <c r="F9" s="144"/>
      <c r="G9" s="144"/>
      <c r="H9" s="144"/>
      <c r="I9" s="144"/>
      <c r="J9" s="144"/>
      <c r="K9" s="144"/>
      <c r="L9" s="204"/>
    </row>
    <row r="10" spans="1:12" s="267" customFormat="1" ht="16.5" customHeight="1">
      <c r="A10" s="209" t="s">
        <v>693</v>
      </c>
      <c r="B10" s="26" t="s">
        <v>694</v>
      </c>
      <c r="C10" s="218">
        <v>6948.5</v>
      </c>
      <c r="D10" s="218">
        <v>7443.9</v>
      </c>
      <c r="E10" s="218">
        <v>9162.2</v>
      </c>
      <c r="F10" s="218">
        <v>5009.7</v>
      </c>
      <c r="G10" s="218">
        <v>2189.9</v>
      </c>
      <c r="H10" s="218">
        <v>2474.7</v>
      </c>
      <c r="I10" s="218">
        <v>2321.9</v>
      </c>
      <c r="J10" s="218">
        <v>2453.1</v>
      </c>
      <c r="K10" s="218">
        <v>2556.6</v>
      </c>
      <c r="L10" s="157">
        <v>100</v>
      </c>
    </row>
    <row r="11" spans="1:12" s="267" customFormat="1" ht="16.5" customHeight="1">
      <c r="A11" s="209"/>
      <c r="B11" s="26" t="s">
        <v>695</v>
      </c>
      <c r="C11" s="157">
        <v>-0.7</v>
      </c>
      <c r="D11" s="157">
        <v>7.1</v>
      </c>
      <c r="E11" s="157">
        <v>23.1</v>
      </c>
      <c r="F11" s="157">
        <v>14.8</v>
      </c>
      <c r="G11" s="157">
        <v>18.8</v>
      </c>
      <c r="H11" s="157">
        <v>30.5</v>
      </c>
      <c r="I11" s="157">
        <v>20.1</v>
      </c>
      <c r="J11" s="157">
        <v>12.8</v>
      </c>
      <c r="K11" s="157">
        <v>16.8</v>
      </c>
      <c r="L11" s="268"/>
    </row>
    <row r="12" spans="1:12" s="267" customFormat="1" ht="16.5" customHeight="1">
      <c r="A12" s="209"/>
      <c r="B12" s="25"/>
      <c r="C12" s="218"/>
      <c r="D12" s="218"/>
      <c r="E12" s="218"/>
      <c r="F12" s="218"/>
      <c r="G12" s="218"/>
      <c r="H12" s="218"/>
      <c r="I12" s="218"/>
      <c r="J12" s="218"/>
      <c r="K12" s="218"/>
      <c r="L12" s="268"/>
    </row>
    <row r="13" spans="1:12" s="9" customFormat="1" ht="16.5" customHeight="1">
      <c r="A13" s="171" t="s">
        <v>696</v>
      </c>
      <c r="B13" s="26"/>
      <c r="C13" s="218"/>
      <c r="D13" s="218"/>
      <c r="E13" s="218"/>
      <c r="F13" s="218"/>
      <c r="G13" s="218"/>
      <c r="H13" s="218"/>
      <c r="I13" s="218"/>
      <c r="J13" s="218"/>
      <c r="K13" s="218"/>
      <c r="L13" s="157"/>
    </row>
    <row r="14" spans="1:12" s="9" customFormat="1" ht="16.5" customHeight="1">
      <c r="A14" s="52" t="s">
        <v>697</v>
      </c>
      <c r="B14" s="26" t="s">
        <v>694</v>
      </c>
      <c r="C14" s="218">
        <v>4687.1</v>
      </c>
      <c r="D14" s="218">
        <v>4436.3</v>
      </c>
      <c r="E14" s="218">
        <v>5190.5</v>
      </c>
      <c r="F14" s="218">
        <v>2588.9</v>
      </c>
      <c r="G14" s="218">
        <v>1259.8</v>
      </c>
      <c r="H14" s="218">
        <v>1409.1</v>
      </c>
      <c r="I14" s="218">
        <v>1226.1</v>
      </c>
      <c r="J14" s="218">
        <v>1301.6</v>
      </c>
      <c r="K14" s="218">
        <v>1287.3</v>
      </c>
      <c r="L14" s="157">
        <v>50.4</v>
      </c>
    </row>
    <row r="15" spans="1:12" s="9" customFormat="1" ht="16.5" customHeight="1">
      <c r="A15" s="52"/>
      <c r="B15" s="26" t="s">
        <v>695</v>
      </c>
      <c r="C15" s="157">
        <v>-3.1</v>
      </c>
      <c r="D15" s="157">
        <v>-5.4</v>
      </c>
      <c r="E15" s="157">
        <v>17</v>
      </c>
      <c r="F15" s="157">
        <v>1.3</v>
      </c>
      <c r="G15" s="157">
        <v>15.8</v>
      </c>
      <c r="H15" s="157">
        <v>27.1</v>
      </c>
      <c r="I15" s="157">
        <v>9.5</v>
      </c>
      <c r="J15" s="157">
        <v>0.5</v>
      </c>
      <c r="K15" s="157">
        <v>2.2</v>
      </c>
      <c r="L15" s="157"/>
    </row>
    <row r="16" spans="1:12" s="9" customFormat="1" ht="16.5" customHeight="1">
      <c r="A16" s="52"/>
      <c r="B16" s="26"/>
      <c r="C16" s="218"/>
      <c r="D16" s="218"/>
      <c r="E16" s="218"/>
      <c r="F16" s="218"/>
      <c r="G16" s="218"/>
      <c r="H16" s="218"/>
      <c r="I16" s="218"/>
      <c r="J16" s="218"/>
      <c r="K16" s="218"/>
      <c r="L16" s="157"/>
    </row>
    <row r="17" spans="1:12" s="9" customFormat="1" ht="16.5" customHeight="1">
      <c r="A17" s="52" t="s">
        <v>698</v>
      </c>
      <c r="B17" s="26" t="s">
        <v>694</v>
      </c>
      <c r="C17" s="218">
        <v>1749.3</v>
      </c>
      <c r="D17" s="218">
        <v>2334.7</v>
      </c>
      <c r="E17" s="218">
        <v>3137.5</v>
      </c>
      <c r="F17" s="218">
        <v>1993.7</v>
      </c>
      <c r="G17" s="218">
        <v>705.1</v>
      </c>
      <c r="H17" s="218">
        <v>844.9</v>
      </c>
      <c r="I17" s="218">
        <v>889.2</v>
      </c>
      <c r="J17" s="218">
        <v>957.9</v>
      </c>
      <c r="K17" s="218">
        <v>1035.8</v>
      </c>
      <c r="L17" s="157">
        <v>40.5</v>
      </c>
    </row>
    <row r="18" spans="1:12" s="9" customFormat="1" ht="16.5" customHeight="1">
      <c r="A18" s="52"/>
      <c r="B18" s="26" t="s">
        <v>695</v>
      </c>
      <c r="C18" s="157">
        <v>7.7</v>
      </c>
      <c r="D18" s="157">
        <v>33.5</v>
      </c>
      <c r="E18" s="157">
        <v>34.4</v>
      </c>
      <c r="F18" s="157">
        <v>42.1</v>
      </c>
      <c r="G18" s="157">
        <v>22.4</v>
      </c>
      <c r="H18" s="157">
        <v>37.2</v>
      </c>
      <c r="I18" s="157">
        <v>39.5</v>
      </c>
      <c r="J18" s="157">
        <v>37.2</v>
      </c>
      <c r="K18" s="157">
        <v>46.9</v>
      </c>
      <c r="L18" s="157"/>
    </row>
    <row r="19" spans="1:12" s="9" customFormat="1" ht="16.5" customHeight="1">
      <c r="A19" s="52"/>
      <c r="B19" s="26"/>
      <c r="C19" s="218"/>
      <c r="D19" s="218"/>
      <c r="E19" s="218"/>
      <c r="F19" s="218"/>
      <c r="G19" s="218"/>
      <c r="H19" s="218"/>
      <c r="I19" s="218"/>
      <c r="J19" s="218"/>
      <c r="K19" s="218"/>
      <c r="L19" s="157"/>
    </row>
    <row r="20" spans="1:12" s="9" customFormat="1" ht="16.5" customHeight="1">
      <c r="A20" s="52" t="s">
        <v>699</v>
      </c>
      <c r="B20" s="26" t="s">
        <v>694</v>
      </c>
      <c r="C20" s="218">
        <v>512.2</v>
      </c>
      <c r="D20" s="218">
        <v>672.9</v>
      </c>
      <c r="E20" s="218">
        <v>834.2</v>
      </c>
      <c r="F20" s="218">
        <v>427.1</v>
      </c>
      <c r="G20" s="218">
        <v>225</v>
      </c>
      <c r="H20" s="218">
        <v>220.7</v>
      </c>
      <c r="I20" s="218">
        <v>206.6</v>
      </c>
      <c r="J20" s="218">
        <v>193.6</v>
      </c>
      <c r="K20" s="218">
        <v>233.5</v>
      </c>
      <c r="L20" s="157">
        <v>9.1</v>
      </c>
    </row>
    <row r="21" spans="1:12" s="9" customFormat="1" ht="16.5" customHeight="1">
      <c r="A21" s="52"/>
      <c r="B21" s="26" t="s">
        <v>695</v>
      </c>
      <c r="C21" s="157">
        <v>-4.7</v>
      </c>
      <c r="D21" s="157">
        <v>31.4</v>
      </c>
      <c r="E21" s="157">
        <v>24</v>
      </c>
      <c r="F21" s="157">
        <v>5</v>
      </c>
      <c r="G21" s="157">
        <v>25.4</v>
      </c>
      <c r="H21" s="157">
        <v>27.7</v>
      </c>
      <c r="I21" s="157">
        <v>17.6</v>
      </c>
      <c r="J21" s="157">
        <v>6.5</v>
      </c>
      <c r="K21" s="157">
        <v>3.8</v>
      </c>
      <c r="L21" s="157"/>
    </row>
    <row r="22" spans="1:12" s="9" customFormat="1" ht="16.5" customHeight="1">
      <c r="A22" s="52"/>
      <c r="B22" s="26"/>
      <c r="C22" s="218"/>
      <c r="D22" s="218"/>
      <c r="E22" s="218"/>
      <c r="F22" s="218"/>
      <c r="G22" s="218"/>
      <c r="H22" s="218"/>
      <c r="I22" s="218"/>
      <c r="J22" s="218"/>
      <c r="K22" s="218"/>
      <c r="L22" s="157"/>
    </row>
    <row r="23" spans="1:12" s="9" customFormat="1" ht="16.5" customHeight="1">
      <c r="A23" s="171" t="s">
        <v>700</v>
      </c>
      <c r="B23" s="26"/>
      <c r="C23" s="218"/>
      <c r="D23" s="218"/>
      <c r="E23" s="218"/>
      <c r="F23" s="218"/>
      <c r="G23" s="218"/>
      <c r="H23" s="218"/>
      <c r="I23" s="218"/>
      <c r="J23" s="218"/>
      <c r="K23" s="218"/>
      <c r="L23" s="157"/>
    </row>
    <row r="24" spans="1:12" s="9" customFormat="1" ht="16.5" customHeight="1">
      <c r="A24" s="52" t="s">
        <v>511</v>
      </c>
      <c r="B24" s="26" t="s">
        <v>694</v>
      </c>
      <c r="C24" s="218">
        <v>816.8</v>
      </c>
      <c r="D24" s="218">
        <v>1645.2</v>
      </c>
      <c r="E24" s="218">
        <v>2274.7</v>
      </c>
      <c r="F24" s="218">
        <v>1359.9</v>
      </c>
      <c r="G24" s="218">
        <v>548.9</v>
      </c>
      <c r="H24" s="218">
        <v>550.3</v>
      </c>
      <c r="I24" s="218">
        <v>597</v>
      </c>
      <c r="J24" s="218">
        <v>653</v>
      </c>
      <c r="K24" s="218">
        <v>706.9</v>
      </c>
      <c r="L24" s="157">
        <v>27.6</v>
      </c>
    </row>
    <row r="25" spans="1:12" s="9" customFormat="1" ht="16.5" customHeight="1">
      <c r="A25" s="52"/>
      <c r="B25" s="26" t="s">
        <v>695</v>
      </c>
      <c r="C25" s="157">
        <v>54.2</v>
      </c>
      <c r="D25" s="157">
        <v>101.4</v>
      </c>
      <c r="E25" s="157">
        <v>38.3</v>
      </c>
      <c r="F25" s="157">
        <v>20.6</v>
      </c>
      <c r="G25" s="157">
        <v>48.3</v>
      </c>
      <c r="H25" s="157">
        <v>21.5</v>
      </c>
      <c r="I25" s="157">
        <v>26</v>
      </c>
      <c r="J25" s="157">
        <v>12.9</v>
      </c>
      <c r="K25" s="157">
        <v>28.8</v>
      </c>
      <c r="L25" s="157"/>
    </row>
    <row r="26" spans="1:12" s="9" customFormat="1" ht="16.5" customHeight="1">
      <c r="A26" s="52"/>
      <c r="B26" s="26"/>
      <c r="C26" s="218"/>
      <c r="D26" s="218"/>
      <c r="E26" s="218"/>
      <c r="F26" s="218"/>
      <c r="G26" s="218"/>
      <c r="H26" s="218"/>
      <c r="I26" s="218"/>
      <c r="J26" s="218"/>
      <c r="K26" s="218"/>
      <c r="L26" s="157"/>
    </row>
    <row r="27" spans="1:12" s="9" customFormat="1" ht="16.5" customHeight="1">
      <c r="A27" s="52" t="s">
        <v>512</v>
      </c>
      <c r="B27" s="26" t="s">
        <v>694</v>
      </c>
      <c r="C27" s="218">
        <v>4721.8</v>
      </c>
      <c r="D27" s="218">
        <v>4229.8</v>
      </c>
      <c r="E27" s="218">
        <v>4954.6</v>
      </c>
      <c r="F27" s="218">
        <v>2606.8</v>
      </c>
      <c r="G27" s="218">
        <v>1160.6</v>
      </c>
      <c r="H27" s="218">
        <v>1399.7</v>
      </c>
      <c r="I27" s="218">
        <v>1197.8</v>
      </c>
      <c r="J27" s="218">
        <v>1323</v>
      </c>
      <c r="K27" s="218">
        <v>1283.7</v>
      </c>
      <c r="L27" s="157">
        <v>50.2</v>
      </c>
    </row>
    <row r="28" spans="1:12" s="9" customFormat="1" ht="16.5" customHeight="1">
      <c r="A28" s="52"/>
      <c r="B28" s="26" t="s">
        <v>695</v>
      </c>
      <c r="C28" s="157">
        <v>0.4</v>
      </c>
      <c r="D28" s="157">
        <v>-10.4</v>
      </c>
      <c r="E28" s="157">
        <v>17.1</v>
      </c>
      <c r="F28" s="157">
        <v>10.6</v>
      </c>
      <c r="G28" s="157">
        <v>9.2</v>
      </c>
      <c r="H28" s="157">
        <v>33</v>
      </c>
      <c r="I28" s="157">
        <v>15.4</v>
      </c>
      <c r="J28" s="157">
        <v>10.6</v>
      </c>
      <c r="K28" s="157">
        <v>10.6</v>
      </c>
      <c r="L28" s="157"/>
    </row>
    <row r="29" spans="1:12" s="9" customFormat="1" ht="16.5" customHeight="1">
      <c r="A29" s="52"/>
      <c r="B29" s="26"/>
      <c r="C29" s="218"/>
      <c r="D29" s="218"/>
      <c r="E29" s="218"/>
      <c r="F29" s="218"/>
      <c r="G29" s="218"/>
      <c r="H29" s="218"/>
      <c r="I29" s="218"/>
      <c r="J29" s="218"/>
      <c r="K29" s="218"/>
      <c r="L29" s="157"/>
    </row>
    <row r="30" spans="1:12" s="9" customFormat="1" ht="16.5" customHeight="1">
      <c r="A30" s="52" t="s">
        <v>701</v>
      </c>
      <c r="B30" s="26" t="s">
        <v>694</v>
      </c>
      <c r="C30" s="218">
        <v>816.6</v>
      </c>
      <c r="D30" s="218">
        <v>984.8</v>
      </c>
      <c r="E30" s="218">
        <v>1311</v>
      </c>
      <c r="F30" s="218">
        <v>729.8</v>
      </c>
      <c r="G30" s="218">
        <v>326.9</v>
      </c>
      <c r="H30" s="218">
        <v>372.8</v>
      </c>
      <c r="I30" s="218">
        <v>355</v>
      </c>
      <c r="J30" s="218">
        <v>323</v>
      </c>
      <c r="K30" s="218">
        <v>406.8</v>
      </c>
      <c r="L30" s="157">
        <v>15.9</v>
      </c>
    </row>
    <row r="31" spans="1:12" s="9" customFormat="1" ht="16.5" customHeight="1">
      <c r="A31" s="52"/>
      <c r="B31" s="26" t="s">
        <v>695</v>
      </c>
      <c r="C31" s="157">
        <v>-10.2</v>
      </c>
      <c r="D31" s="157">
        <v>20.6</v>
      </c>
      <c r="E31" s="157">
        <v>33.1</v>
      </c>
      <c r="F31" s="157">
        <v>25.1</v>
      </c>
      <c r="G31" s="157">
        <v>22.1</v>
      </c>
      <c r="H31" s="157">
        <v>45.9</v>
      </c>
      <c r="I31" s="157">
        <v>39.1</v>
      </c>
      <c r="J31" s="157">
        <v>26</v>
      </c>
      <c r="K31" s="157">
        <v>24.4</v>
      </c>
      <c r="L31" s="157"/>
    </row>
    <row r="32" spans="1:12" s="9" customFormat="1" ht="16.5" customHeight="1">
      <c r="A32" s="52"/>
      <c r="B32" s="26"/>
      <c r="C32" s="218"/>
      <c r="D32" s="218"/>
      <c r="E32" s="218"/>
      <c r="F32" s="218"/>
      <c r="G32" s="218"/>
      <c r="H32" s="218"/>
      <c r="I32" s="218"/>
      <c r="J32" s="218"/>
      <c r="K32" s="218"/>
      <c r="L32" s="157"/>
    </row>
    <row r="33" spans="1:12" s="9" customFormat="1" ht="16.5" customHeight="1">
      <c r="A33" s="8" t="s">
        <v>702</v>
      </c>
      <c r="B33" s="26" t="s">
        <v>694</v>
      </c>
      <c r="C33" s="218">
        <v>155.7</v>
      </c>
      <c r="D33" s="218">
        <v>145.3</v>
      </c>
      <c r="E33" s="218">
        <v>144.9</v>
      </c>
      <c r="F33" s="218">
        <v>74.3</v>
      </c>
      <c r="G33" s="218">
        <v>34</v>
      </c>
      <c r="H33" s="218">
        <v>37.5</v>
      </c>
      <c r="I33" s="218">
        <v>37.5</v>
      </c>
      <c r="J33" s="218">
        <v>38.6</v>
      </c>
      <c r="K33" s="218">
        <v>35.7</v>
      </c>
      <c r="L33" s="157">
        <v>1.4</v>
      </c>
    </row>
    <row r="34" spans="1:12" s="9" customFormat="1" ht="16.5" customHeight="1">
      <c r="A34" s="8"/>
      <c r="B34" s="26" t="s">
        <v>695</v>
      </c>
      <c r="C34" s="157">
        <v>-45.6</v>
      </c>
      <c r="D34" s="157">
        <v>-6.7</v>
      </c>
      <c r="E34" s="157">
        <v>-0.3</v>
      </c>
      <c r="F34" s="157">
        <v>6.5</v>
      </c>
      <c r="G34" s="157">
        <v>0.6</v>
      </c>
      <c r="H34" s="157">
        <v>0.2</v>
      </c>
      <c r="I34" s="157">
        <v>-2.1</v>
      </c>
      <c r="J34" s="157">
        <v>7.7</v>
      </c>
      <c r="K34" s="157">
        <v>5.1</v>
      </c>
      <c r="L34" s="157"/>
    </row>
    <row r="35" spans="1:12" s="9" customFormat="1" ht="16.5" customHeight="1">
      <c r="A35" s="8"/>
      <c r="B35" s="26"/>
      <c r="C35" s="218"/>
      <c r="D35" s="218"/>
      <c r="E35" s="218"/>
      <c r="F35" s="218"/>
      <c r="G35" s="218"/>
      <c r="H35" s="218"/>
      <c r="I35" s="218"/>
      <c r="J35" s="218"/>
      <c r="K35" s="218"/>
      <c r="L35" s="157"/>
    </row>
    <row r="36" spans="1:12" s="9" customFormat="1" ht="16.5" customHeight="1">
      <c r="A36" s="52" t="s">
        <v>703</v>
      </c>
      <c r="B36" s="26" t="s">
        <v>694</v>
      </c>
      <c r="C36" s="218">
        <v>140.4</v>
      </c>
      <c r="D36" s="218">
        <v>137.4</v>
      </c>
      <c r="E36" s="218">
        <v>120.9</v>
      </c>
      <c r="F36" s="218">
        <v>55.9</v>
      </c>
      <c r="G36" s="218">
        <v>30.1</v>
      </c>
      <c r="H36" s="218">
        <v>27.8</v>
      </c>
      <c r="I36" s="218">
        <v>34</v>
      </c>
      <c r="J36" s="218">
        <v>27.3</v>
      </c>
      <c r="K36" s="218">
        <v>28.7</v>
      </c>
      <c r="L36" s="157">
        <v>1.1</v>
      </c>
    </row>
    <row r="37" spans="1:12" s="9" customFormat="1" ht="16.5" customHeight="1">
      <c r="A37" s="52"/>
      <c r="B37" s="26" t="s">
        <v>695</v>
      </c>
      <c r="C37" s="157">
        <v>-13.7</v>
      </c>
      <c r="D37" s="157">
        <v>-2.1</v>
      </c>
      <c r="E37" s="157">
        <v>-12</v>
      </c>
      <c r="F37" s="157">
        <v>-5.3</v>
      </c>
      <c r="G37" s="157">
        <v>-7.6</v>
      </c>
      <c r="H37" s="157">
        <v>-8.8</v>
      </c>
      <c r="I37" s="157">
        <v>-18.5</v>
      </c>
      <c r="J37" s="157">
        <v>-5.9</v>
      </c>
      <c r="K37" s="157">
        <v>-4.8</v>
      </c>
      <c r="L37" s="157"/>
    </row>
    <row r="38" spans="1:12" s="9" customFormat="1" ht="16.5" customHeight="1">
      <c r="A38" s="52"/>
      <c r="B38" s="26"/>
      <c r="C38" s="218"/>
      <c r="D38" s="218"/>
      <c r="E38" s="218"/>
      <c r="F38" s="218"/>
      <c r="G38" s="218"/>
      <c r="H38" s="218"/>
      <c r="I38" s="218"/>
      <c r="J38" s="218"/>
      <c r="K38" s="218"/>
      <c r="L38" s="157"/>
    </row>
    <row r="39" spans="1:12" s="9" customFormat="1" ht="16.5" customHeight="1">
      <c r="A39" s="52" t="s">
        <v>704</v>
      </c>
      <c r="B39" s="26" t="s">
        <v>694</v>
      </c>
      <c r="C39" s="218">
        <v>97.8</v>
      </c>
      <c r="D39" s="218">
        <v>97</v>
      </c>
      <c r="E39" s="218">
        <v>108.6</v>
      </c>
      <c r="F39" s="218">
        <v>55.5</v>
      </c>
      <c r="G39" s="218">
        <v>27.4</v>
      </c>
      <c r="H39" s="218">
        <v>26.3</v>
      </c>
      <c r="I39" s="218">
        <v>30.4</v>
      </c>
      <c r="J39" s="218">
        <v>27</v>
      </c>
      <c r="K39" s="218">
        <v>28.5</v>
      </c>
      <c r="L39" s="157">
        <v>1.1</v>
      </c>
    </row>
    <row r="40" spans="1:12" s="9" customFormat="1" ht="16.5" customHeight="1">
      <c r="A40" s="52"/>
      <c r="B40" s="26" t="s">
        <v>695</v>
      </c>
      <c r="C40" s="157">
        <v>-1.5</v>
      </c>
      <c r="D40" s="157">
        <v>-0.9</v>
      </c>
      <c r="E40" s="157">
        <v>12</v>
      </c>
      <c r="F40" s="157">
        <v>6.9</v>
      </c>
      <c r="G40" s="157">
        <v>12.9</v>
      </c>
      <c r="H40" s="157">
        <v>25.6</v>
      </c>
      <c r="I40" s="157">
        <v>9</v>
      </c>
      <c r="J40" s="157">
        <v>9.9</v>
      </c>
      <c r="K40" s="157">
        <v>4.3</v>
      </c>
      <c r="L40" s="157"/>
    </row>
    <row r="41" spans="1:12" s="9" customFormat="1" ht="16.5" customHeight="1">
      <c r="A41" s="52"/>
      <c r="B41" s="26"/>
      <c r="C41" s="218"/>
      <c r="D41" s="218"/>
      <c r="E41" s="218"/>
      <c r="F41" s="218"/>
      <c r="G41" s="218"/>
      <c r="H41" s="218"/>
      <c r="I41" s="218"/>
      <c r="J41" s="218"/>
      <c r="K41" s="218"/>
      <c r="L41" s="157"/>
    </row>
    <row r="42" spans="1:12" s="9" customFormat="1" ht="16.5" customHeight="1">
      <c r="A42" s="209" t="s">
        <v>705</v>
      </c>
      <c r="B42" s="26" t="s">
        <v>694</v>
      </c>
      <c r="C42" s="218">
        <v>2156.1</v>
      </c>
      <c r="D42" s="218">
        <v>2253.4</v>
      </c>
      <c r="E42" s="218">
        <v>2689.8</v>
      </c>
      <c r="F42" s="218">
        <v>1310.6</v>
      </c>
      <c r="G42" s="218">
        <v>658.3</v>
      </c>
      <c r="H42" s="218">
        <v>724</v>
      </c>
      <c r="I42" s="218">
        <v>665</v>
      </c>
      <c r="J42" s="218">
        <v>634.5</v>
      </c>
      <c r="K42" s="218">
        <v>676.1</v>
      </c>
      <c r="L42" s="157" t="s">
        <v>706</v>
      </c>
    </row>
    <row r="43" spans="1:12" s="9" customFormat="1" ht="16.5" customHeight="1">
      <c r="A43" s="209"/>
      <c r="B43" s="26" t="s">
        <v>695</v>
      </c>
      <c r="C43" s="157">
        <v>-2.4</v>
      </c>
      <c r="D43" s="157">
        <v>4.5</v>
      </c>
      <c r="E43" s="157">
        <v>19.4</v>
      </c>
      <c r="F43" s="157">
        <v>0.8</v>
      </c>
      <c r="G43" s="157">
        <v>20.8</v>
      </c>
      <c r="H43" s="157">
        <v>25.8</v>
      </c>
      <c r="I43" s="157">
        <v>11.5</v>
      </c>
      <c r="J43" s="157">
        <v>-1.2</v>
      </c>
      <c r="K43" s="157">
        <v>2.7</v>
      </c>
      <c r="L43" s="157"/>
    </row>
    <row r="44" spans="1:12" s="9" customFormat="1" ht="16.5" customHeight="1">
      <c r="A44" s="209"/>
      <c r="B44" s="25"/>
      <c r="C44" s="218"/>
      <c r="D44" s="218"/>
      <c r="E44" s="218"/>
      <c r="F44" s="218"/>
      <c r="G44" s="218"/>
      <c r="H44" s="218"/>
      <c r="I44" s="218"/>
      <c r="J44" s="218"/>
      <c r="K44" s="218"/>
      <c r="L44" s="157"/>
    </row>
    <row r="45" spans="1:12" s="267" customFormat="1" ht="16.5" customHeight="1">
      <c r="A45" s="209" t="s">
        <v>707</v>
      </c>
      <c r="B45" s="25"/>
      <c r="C45" s="218">
        <v>51.28</v>
      </c>
      <c r="D45" s="218">
        <v>53.7</v>
      </c>
      <c r="E45" s="218">
        <v>57.6</v>
      </c>
      <c r="F45" s="218">
        <v>57.6</v>
      </c>
      <c r="G45" s="218">
        <v>56.9</v>
      </c>
      <c r="H45" s="218">
        <v>60.3</v>
      </c>
      <c r="I45" s="218">
        <v>58.7</v>
      </c>
      <c r="J45" s="218">
        <v>55.6</v>
      </c>
      <c r="K45" s="218">
        <v>59.6</v>
      </c>
      <c r="L45" s="157" t="s">
        <v>706</v>
      </c>
    </row>
    <row r="46" spans="1:12" s="267" customFormat="1" ht="16.5" customHeight="1">
      <c r="A46" s="209"/>
      <c r="B46" s="25"/>
      <c r="C46" s="218"/>
      <c r="D46" s="218"/>
      <c r="E46" s="218"/>
      <c r="F46" s="218"/>
      <c r="G46" s="218"/>
      <c r="H46" s="218"/>
      <c r="I46" s="218"/>
      <c r="J46" s="218"/>
      <c r="K46" s="218"/>
      <c r="L46" s="157"/>
    </row>
    <row r="47" spans="1:12" s="267" customFormat="1" ht="16.5" customHeight="1">
      <c r="A47" s="209" t="s">
        <v>708</v>
      </c>
      <c r="B47" s="25"/>
      <c r="C47" s="218">
        <v>1.4</v>
      </c>
      <c r="D47" s="218">
        <v>1.4</v>
      </c>
      <c r="E47" s="218">
        <v>1.3</v>
      </c>
      <c r="F47" s="218">
        <v>1.3</v>
      </c>
      <c r="G47" s="218">
        <v>1.3</v>
      </c>
      <c r="H47" s="218">
        <v>1.3</v>
      </c>
      <c r="I47" s="218">
        <v>1.4</v>
      </c>
      <c r="J47" s="218">
        <v>1.3</v>
      </c>
      <c r="K47" s="218">
        <v>1.3</v>
      </c>
      <c r="L47" s="157" t="s">
        <v>706</v>
      </c>
    </row>
    <row r="48" spans="1:12" s="267" customFormat="1" ht="9.75" customHeight="1">
      <c r="A48" s="269"/>
      <c r="B48" s="270"/>
      <c r="C48" s="271"/>
      <c r="D48" s="271"/>
      <c r="E48" s="271"/>
      <c r="F48" s="271"/>
      <c r="G48" s="271"/>
      <c r="H48" s="271"/>
      <c r="I48" s="271"/>
      <c r="J48" s="271"/>
      <c r="K48" s="271"/>
      <c r="L48" s="272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59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50390625" style="24" customWidth="1"/>
    <col min="2" max="2" width="11.875" style="24" customWidth="1"/>
    <col min="3" max="10" width="8.125" style="24" customWidth="1"/>
    <col min="11" max="11" width="7.625" style="24" customWidth="1"/>
    <col min="12" max="16384" width="9.00390625" style="24" customWidth="1"/>
  </cols>
  <sheetData>
    <row r="1" spans="1:10" s="9" customFormat="1" ht="15" customHeight="1">
      <c r="A1" s="4" t="s">
        <v>690</v>
      </c>
      <c r="B1" s="4"/>
      <c r="C1" s="8"/>
      <c r="J1" s="8"/>
    </row>
    <row r="2" spans="1:10" s="9" customFormat="1" ht="15" customHeight="1">
      <c r="A2" s="4"/>
      <c r="B2" s="4"/>
      <c r="C2" s="8"/>
      <c r="J2" s="8"/>
    </row>
    <row r="4" ht="16.5">
      <c r="A4" s="3" t="s">
        <v>709</v>
      </c>
    </row>
    <row r="5" ht="15" customHeight="1"/>
    <row r="6" spans="1:11" ht="15.75" customHeight="1">
      <c r="A6" s="132"/>
      <c r="B6" s="10"/>
      <c r="C6" s="568">
        <v>1998</v>
      </c>
      <c r="D6" s="568">
        <v>1999</v>
      </c>
      <c r="E6" s="568">
        <v>2000</v>
      </c>
      <c r="F6" s="11">
        <v>2000</v>
      </c>
      <c r="G6" s="12">
        <v>2000</v>
      </c>
      <c r="H6" s="12">
        <v>2000</v>
      </c>
      <c r="I6" s="12">
        <v>2001</v>
      </c>
      <c r="J6" s="12">
        <v>2001</v>
      </c>
      <c r="K6" s="23"/>
    </row>
    <row r="7" spans="1:11" ht="15.75" customHeight="1">
      <c r="A7" s="143"/>
      <c r="B7" s="133"/>
      <c r="C7" s="573"/>
      <c r="D7" s="573"/>
      <c r="E7" s="573"/>
      <c r="F7" s="273" t="s">
        <v>301</v>
      </c>
      <c r="G7" s="139" t="s">
        <v>302</v>
      </c>
      <c r="H7" s="139" t="s">
        <v>303</v>
      </c>
      <c r="I7" s="139" t="s">
        <v>304</v>
      </c>
      <c r="J7" s="140" t="s">
        <v>301</v>
      </c>
      <c r="K7" s="23"/>
    </row>
    <row r="8" spans="1:11" ht="15.75" customHeight="1">
      <c r="A8" s="141"/>
      <c r="B8" s="15"/>
      <c r="C8" s="569"/>
      <c r="D8" s="569"/>
      <c r="E8" s="569"/>
      <c r="F8" s="274"/>
      <c r="G8" s="19"/>
      <c r="H8" s="19"/>
      <c r="I8" s="19"/>
      <c r="J8" s="19"/>
      <c r="K8" s="23"/>
    </row>
    <row r="9" spans="1:10" s="267" customFormat="1" ht="9.75" customHeight="1">
      <c r="A9" s="209"/>
      <c r="B9" s="25"/>
      <c r="C9" s="275"/>
      <c r="D9" s="275"/>
      <c r="E9" s="275"/>
      <c r="F9" s="275"/>
      <c r="G9" s="275"/>
      <c r="H9" s="275"/>
      <c r="I9" s="275"/>
      <c r="J9" s="275"/>
    </row>
    <row r="10" spans="1:10" s="267" customFormat="1" ht="16.5" customHeight="1">
      <c r="A10" s="209" t="s">
        <v>710</v>
      </c>
      <c r="B10" s="26" t="s">
        <v>711</v>
      </c>
      <c r="C10" s="173">
        <v>1392</v>
      </c>
      <c r="D10" s="173">
        <v>1373</v>
      </c>
      <c r="E10" s="173">
        <v>1367</v>
      </c>
      <c r="F10" s="173">
        <v>1215</v>
      </c>
      <c r="G10" s="173">
        <v>1467</v>
      </c>
      <c r="H10" s="173">
        <v>1311</v>
      </c>
      <c r="I10" s="173">
        <v>1321</v>
      </c>
      <c r="J10" s="173">
        <v>1351</v>
      </c>
    </row>
    <row r="11" spans="1:10" s="267" customFormat="1" ht="16.5" customHeight="1">
      <c r="A11" s="209"/>
      <c r="B11" s="26" t="s">
        <v>695</v>
      </c>
      <c r="C11" s="276" t="s">
        <v>712</v>
      </c>
      <c r="D11" s="157">
        <v>-1.4</v>
      </c>
      <c r="E11" s="157">
        <v>-0.4</v>
      </c>
      <c r="F11" s="157">
        <v>-10.5</v>
      </c>
      <c r="G11" s="157">
        <v>12.4</v>
      </c>
      <c r="H11" s="157">
        <v>8.2</v>
      </c>
      <c r="I11" s="157">
        <v>16.2</v>
      </c>
      <c r="J11" s="157">
        <v>11.2</v>
      </c>
    </row>
    <row r="12" spans="1:10" s="267" customFormat="1" ht="16.5" customHeight="1">
      <c r="A12" s="209"/>
      <c r="B12" s="25"/>
      <c r="C12" s="218"/>
      <c r="D12" s="218"/>
      <c r="E12" s="218"/>
      <c r="F12" s="218"/>
      <c r="G12" s="218"/>
      <c r="H12" s="218"/>
      <c r="I12" s="218"/>
      <c r="J12" s="218"/>
    </row>
    <row r="13" spans="1:10" s="267" customFormat="1" ht="16.5" customHeight="1">
      <c r="A13" s="52" t="s">
        <v>713</v>
      </c>
      <c r="B13" s="26" t="s">
        <v>711</v>
      </c>
      <c r="C13" s="173">
        <v>2796</v>
      </c>
      <c r="D13" s="173">
        <v>2661</v>
      </c>
      <c r="E13" s="173">
        <v>2401</v>
      </c>
      <c r="F13" s="173">
        <v>1941</v>
      </c>
      <c r="G13" s="173">
        <v>2591</v>
      </c>
      <c r="H13" s="173">
        <v>2420</v>
      </c>
      <c r="I13" s="173">
        <v>2667</v>
      </c>
      <c r="J13" s="173">
        <v>2309</v>
      </c>
    </row>
    <row r="14" spans="1:10" s="267" customFormat="1" ht="16.5" customHeight="1">
      <c r="A14" s="52"/>
      <c r="B14" s="26" t="s">
        <v>695</v>
      </c>
      <c r="C14" s="276" t="s">
        <v>712</v>
      </c>
      <c r="D14" s="157">
        <v>-4.8</v>
      </c>
      <c r="E14" s="157">
        <v>-9.8</v>
      </c>
      <c r="F14" s="157">
        <v>-24.1</v>
      </c>
      <c r="G14" s="157">
        <v>10.4</v>
      </c>
      <c r="H14" s="157">
        <v>9.2</v>
      </c>
      <c r="I14" s="157">
        <v>32</v>
      </c>
      <c r="J14" s="157">
        <v>19</v>
      </c>
    </row>
    <row r="15" spans="1:10" s="267" customFormat="1" ht="16.5" customHeight="1">
      <c r="A15" s="52"/>
      <c r="B15" s="26"/>
      <c r="C15" s="218"/>
      <c r="D15" s="218"/>
      <c r="E15" s="218"/>
      <c r="F15" s="218"/>
      <c r="G15" s="218"/>
      <c r="H15" s="218"/>
      <c r="I15" s="218"/>
      <c r="J15" s="218"/>
    </row>
    <row r="16" spans="1:10" s="267" customFormat="1" ht="16.5" customHeight="1">
      <c r="A16" s="52" t="s">
        <v>714</v>
      </c>
      <c r="B16" s="26" t="s">
        <v>711</v>
      </c>
      <c r="C16" s="173">
        <v>2719</v>
      </c>
      <c r="D16" s="173">
        <v>2568</v>
      </c>
      <c r="E16" s="173">
        <v>2336</v>
      </c>
      <c r="F16" s="173">
        <v>1870</v>
      </c>
      <c r="G16" s="173">
        <v>2456</v>
      </c>
      <c r="H16" s="173">
        <v>2341</v>
      </c>
      <c r="I16" s="173">
        <v>2612</v>
      </c>
      <c r="J16" s="173">
        <v>2322</v>
      </c>
    </row>
    <row r="17" spans="1:10" s="267" customFormat="1" ht="16.5" customHeight="1">
      <c r="A17" s="52"/>
      <c r="B17" s="26" t="s">
        <v>695</v>
      </c>
      <c r="C17" s="276" t="s">
        <v>712</v>
      </c>
      <c r="D17" s="157">
        <v>-5.6</v>
      </c>
      <c r="E17" s="157">
        <v>-9</v>
      </c>
      <c r="F17" s="157">
        <v>-26.7</v>
      </c>
      <c r="G17" s="157">
        <v>7.8</v>
      </c>
      <c r="H17" s="157">
        <v>10.4</v>
      </c>
      <c r="I17" s="157">
        <v>35.8</v>
      </c>
      <c r="J17" s="157">
        <v>24.2</v>
      </c>
    </row>
    <row r="18" spans="1:10" s="267" customFormat="1" ht="16.5" customHeight="1">
      <c r="A18" s="52"/>
      <c r="B18" s="26"/>
      <c r="C18" s="218"/>
      <c r="D18" s="218"/>
      <c r="E18" s="218"/>
      <c r="F18" s="218"/>
      <c r="G18" s="218"/>
      <c r="H18" s="218"/>
      <c r="I18" s="218"/>
      <c r="J18" s="218"/>
    </row>
    <row r="19" spans="1:10" s="267" customFormat="1" ht="16.5" customHeight="1">
      <c r="A19" s="52" t="s">
        <v>715</v>
      </c>
      <c r="B19" s="26" t="s">
        <v>711</v>
      </c>
      <c r="C19" s="173">
        <v>2967</v>
      </c>
      <c r="D19" s="173">
        <v>2708</v>
      </c>
      <c r="E19" s="173">
        <v>2451</v>
      </c>
      <c r="F19" s="173">
        <v>2247</v>
      </c>
      <c r="G19" s="173">
        <v>2601</v>
      </c>
      <c r="H19" s="173">
        <v>2403</v>
      </c>
      <c r="I19" s="173">
        <v>2285</v>
      </c>
      <c r="J19" s="173">
        <v>1972</v>
      </c>
    </row>
    <row r="20" spans="1:10" s="267" customFormat="1" ht="16.5" customHeight="1">
      <c r="A20" s="52"/>
      <c r="B20" s="26" t="s">
        <v>695</v>
      </c>
      <c r="C20" s="276" t="s">
        <v>712</v>
      </c>
      <c r="D20" s="157">
        <v>-8.7</v>
      </c>
      <c r="E20" s="157">
        <v>-9.5</v>
      </c>
      <c r="F20" s="157">
        <v>-14.5</v>
      </c>
      <c r="G20" s="157">
        <v>0.6</v>
      </c>
      <c r="H20" s="157">
        <v>22</v>
      </c>
      <c r="I20" s="157">
        <v>9.5</v>
      </c>
      <c r="J20" s="157">
        <v>-12.2</v>
      </c>
    </row>
    <row r="21" spans="1:10" s="267" customFormat="1" ht="16.5" customHeight="1">
      <c r="A21" s="52"/>
      <c r="B21" s="26"/>
      <c r="C21" s="218"/>
      <c r="D21" s="218"/>
      <c r="E21" s="218"/>
      <c r="F21" s="218"/>
      <c r="G21" s="218"/>
      <c r="H21" s="218"/>
      <c r="I21" s="218"/>
      <c r="J21" s="218"/>
    </row>
    <row r="22" spans="1:10" s="267" customFormat="1" ht="16.5" customHeight="1">
      <c r="A22" s="52" t="s">
        <v>716</v>
      </c>
      <c r="B22" s="26" t="s">
        <v>711</v>
      </c>
      <c r="C22" s="173">
        <v>3841</v>
      </c>
      <c r="D22" s="173">
        <v>3989</v>
      </c>
      <c r="E22" s="173">
        <v>3026</v>
      </c>
      <c r="F22" s="173">
        <v>2610</v>
      </c>
      <c r="G22" s="173">
        <v>4410</v>
      </c>
      <c r="H22" s="173">
        <v>3020</v>
      </c>
      <c r="I22" s="173">
        <v>4598</v>
      </c>
      <c r="J22" s="173">
        <v>3532</v>
      </c>
    </row>
    <row r="23" spans="1:10" s="267" customFormat="1" ht="16.5" customHeight="1">
      <c r="A23" s="52"/>
      <c r="B23" s="26" t="s">
        <v>695</v>
      </c>
      <c r="C23" s="276" t="s">
        <v>712</v>
      </c>
      <c r="D23" s="157">
        <v>3.9</v>
      </c>
      <c r="E23" s="157">
        <v>-24.1</v>
      </c>
      <c r="F23" s="157">
        <v>7.8</v>
      </c>
      <c r="G23" s="157">
        <v>71.2</v>
      </c>
      <c r="H23" s="157">
        <v>-35.9</v>
      </c>
      <c r="I23" s="157">
        <v>19.7</v>
      </c>
      <c r="J23" s="157">
        <v>35.3</v>
      </c>
    </row>
    <row r="24" spans="1:10" s="267" customFormat="1" ht="16.5" customHeight="1">
      <c r="A24" s="52"/>
      <c r="B24" s="26"/>
      <c r="C24" s="218"/>
      <c r="D24" s="218"/>
      <c r="E24" s="218"/>
      <c r="F24" s="218"/>
      <c r="G24" s="218"/>
      <c r="H24" s="218"/>
      <c r="I24" s="218"/>
      <c r="J24" s="218"/>
    </row>
    <row r="25" spans="1:10" s="267" customFormat="1" ht="16.5" customHeight="1">
      <c r="A25" s="52" t="s">
        <v>717</v>
      </c>
      <c r="B25" s="26" t="s">
        <v>711</v>
      </c>
      <c r="C25" s="173">
        <v>884</v>
      </c>
      <c r="D25" s="173">
        <v>836</v>
      </c>
      <c r="E25" s="173">
        <v>934</v>
      </c>
      <c r="F25" s="173">
        <v>871</v>
      </c>
      <c r="G25" s="173">
        <v>1071</v>
      </c>
      <c r="H25" s="173">
        <v>929</v>
      </c>
      <c r="I25" s="173">
        <v>764</v>
      </c>
      <c r="J25" s="173">
        <v>1066</v>
      </c>
    </row>
    <row r="26" spans="1:10" s="267" customFormat="1" ht="16.5" customHeight="1">
      <c r="A26" s="52"/>
      <c r="B26" s="26" t="s">
        <v>695</v>
      </c>
      <c r="C26" s="276" t="s">
        <v>712</v>
      </c>
      <c r="D26" s="157">
        <v>-5.4</v>
      </c>
      <c r="E26" s="157">
        <v>11.7</v>
      </c>
      <c r="F26" s="157">
        <v>-3.3</v>
      </c>
      <c r="G26" s="157">
        <v>13.7</v>
      </c>
      <c r="H26" s="157">
        <v>9.2</v>
      </c>
      <c r="I26" s="157">
        <v>-3.9</v>
      </c>
      <c r="J26" s="157">
        <v>22.4</v>
      </c>
    </row>
    <row r="27" spans="1:10" s="267" customFormat="1" ht="16.5" customHeight="1">
      <c r="A27" s="52"/>
      <c r="B27" s="26"/>
      <c r="C27" s="218"/>
      <c r="D27" s="218"/>
      <c r="E27" s="218"/>
      <c r="F27" s="218"/>
      <c r="G27" s="218"/>
      <c r="H27" s="218"/>
      <c r="I27" s="218"/>
      <c r="J27" s="218"/>
    </row>
    <row r="28" spans="1:10" s="267" customFormat="1" ht="16.5" customHeight="1">
      <c r="A28" s="52" t="s">
        <v>714</v>
      </c>
      <c r="B28" s="26" t="s">
        <v>711</v>
      </c>
      <c r="C28" s="173">
        <v>963</v>
      </c>
      <c r="D28" s="173">
        <v>900</v>
      </c>
      <c r="E28" s="173">
        <v>970</v>
      </c>
      <c r="F28" s="173">
        <v>919</v>
      </c>
      <c r="G28" s="173">
        <v>1108</v>
      </c>
      <c r="H28" s="173">
        <v>957</v>
      </c>
      <c r="I28" s="173">
        <v>799</v>
      </c>
      <c r="J28" s="173">
        <v>1116</v>
      </c>
    </row>
    <row r="29" spans="1:10" s="267" customFormat="1" ht="16.5" customHeight="1">
      <c r="A29" s="52"/>
      <c r="B29" s="26" t="s">
        <v>695</v>
      </c>
      <c r="C29" s="276" t="s">
        <v>712</v>
      </c>
      <c r="D29" s="157">
        <v>-6.5</v>
      </c>
      <c r="E29" s="157">
        <v>7.8</v>
      </c>
      <c r="F29" s="157">
        <v>-3.7</v>
      </c>
      <c r="G29" s="157">
        <v>11.7</v>
      </c>
      <c r="H29" s="157">
        <v>3.7</v>
      </c>
      <c r="I29" s="157">
        <v>-7.7</v>
      </c>
      <c r="J29" s="157">
        <v>21.4</v>
      </c>
    </row>
    <row r="30" spans="1:10" s="267" customFormat="1" ht="16.5" customHeight="1">
      <c r="A30" s="52"/>
      <c r="B30" s="26"/>
      <c r="C30" s="218"/>
      <c r="D30" s="218"/>
      <c r="E30" s="218"/>
      <c r="F30" s="218"/>
      <c r="G30" s="218"/>
      <c r="H30" s="218"/>
      <c r="I30" s="218"/>
      <c r="J30" s="218"/>
    </row>
    <row r="31" spans="1:10" s="267" customFormat="1" ht="16.5" customHeight="1">
      <c r="A31" s="52" t="s">
        <v>715</v>
      </c>
      <c r="B31" s="26" t="s">
        <v>711</v>
      </c>
      <c r="C31" s="173">
        <v>383</v>
      </c>
      <c r="D31" s="173">
        <v>368</v>
      </c>
      <c r="E31" s="173">
        <v>471</v>
      </c>
      <c r="F31" s="173">
        <v>399</v>
      </c>
      <c r="G31" s="173">
        <v>575</v>
      </c>
      <c r="H31" s="173">
        <v>499</v>
      </c>
      <c r="I31" s="173">
        <v>406</v>
      </c>
      <c r="J31" s="173">
        <v>550</v>
      </c>
    </row>
    <row r="32" spans="1:10" s="267" customFormat="1" ht="16.5" customHeight="1">
      <c r="A32" s="52"/>
      <c r="B32" s="26" t="s">
        <v>695</v>
      </c>
      <c r="C32" s="276" t="s">
        <v>712</v>
      </c>
      <c r="D32" s="157">
        <v>-3.9</v>
      </c>
      <c r="E32" s="157">
        <v>28</v>
      </c>
      <c r="F32" s="157">
        <v>-17.6</v>
      </c>
      <c r="G32" s="157">
        <v>22.3</v>
      </c>
      <c r="H32" s="157">
        <v>35.6</v>
      </c>
      <c r="I32" s="157">
        <v>24.9</v>
      </c>
      <c r="J32" s="157">
        <v>37.8</v>
      </c>
    </row>
    <row r="33" spans="1:10" s="267" customFormat="1" ht="16.5" customHeight="1">
      <c r="A33" s="52"/>
      <c r="B33" s="26"/>
      <c r="C33" s="218"/>
      <c r="D33" s="218"/>
      <c r="E33" s="218"/>
      <c r="F33" s="218"/>
      <c r="G33" s="218"/>
      <c r="H33" s="218"/>
      <c r="I33" s="218"/>
      <c r="J33" s="218"/>
    </row>
    <row r="34" spans="1:10" s="267" customFormat="1" ht="16.5" customHeight="1">
      <c r="A34" s="52" t="s">
        <v>718</v>
      </c>
      <c r="B34" s="26" t="s">
        <v>711</v>
      </c>
      <c r="C34" s="173">
        <v>980</v>
      </c>
      <c r="D34" s="173">
        <v>866</v>
      </c>
      <c r="E34" s="173">
        <v>942</v>
      </c>
      <c r="F34" s="173">
        <v>711</v>
      </c>
      <c r="G34" s="173">
        <v>1116</v>
      </c>
      <c r="H34" s="173">
        <v>928</v>
      </c>
      <c r="I34" s="173">
        <v>886</v>
      </c>
      <c r="J34" s="173">
        <v>785</v>
      </c>
    </row>
    <row r="35" spans="1:10" s="267" customFormat="1" ht="16.5" customHeight="1">
      <c r="A35" s="52"/>
      <c r="B35" s="26" t="s">
        <v>695</v>
      </c>
      <c r="C35" s="276" t="s">
        <v>712</v>
      </c>
      <c r="D35" s="157">
        <v>-11.6</v>
      </c>
      <c r="E35" s="157">
        <v>8.8</v>
      </c>
      <c r="F35" s="157">
        <v>-8.6</v>
      </c>
      <c r="G35" s="157">
        <v>73</v>
      </c>
      <c r="H35" s="157">
        <v>33.3</v>
      </c>
      <c r="I35" s="157">
        <v>14.2</v>
      </c>
      <c r="J35" s="157">
        <v>10.4</v>
      </c>
    </row>
    <row r="36" spans="1:10" s="267" customFormat="1" ht="16.5" customHeight="1">
      <c r="A36" s="52"/>
      <c r="B36" s="26"/>
      <c r="C36" s="218"/>
      <c r="D36" s="218"/>
      <c r="E36" s="218"/>
      <c r="F36" s="218"/>
      <c r="G36" s="218"/>
      <c r="H36" s="218"/>
      <c r="I36" s="218"/>
      <c r="J36" s="218"/>
    </row>
    <row r="37" spans="1:10" s="267" customFormat="1" ht="16.5" customHeight="1">
      <c r="A37" s="52" t="s">
        <v>714</v>
      </c>
      <c r="B37" s="26" t="s">
        <v>711</v>
      </c>
      <c r="C37" s="173">
        <v>1145</v>
      </c>
      <c r="D37" s="173">
        <v>1280</v>
      </c>
      <c r="E37" s="173">
        <v>1566</v>
      </c>
      <c r="F37" s="173">
        <v>1450</v>
      </c>
      <c r="G37" s="173">
        <v>1442</v>
      </c>
      <c r="H37" s="173">
        <v>1374</v>
      </c>
      <c r="I37" s="173">
        <v>1545</v>
      </c>
      <c r="J37" s="173">
        <v>1147</v>
      </c>
    </row>
    <row r="38" spans="1:10" s="267" customFormat="1" ht="16.5" customHeight="1">
      <c r="A38" s="52"/>
      <c r="B38" s="26" t="s">
        <v>695</v>
      </c>
      <c r="C38" s="276" t="s">
        <v>712</v>
      </c>
      <c r="D38" s="157">
        <v>11.8</v>
      </c>
      <c r="E38" s="157">
        <v>22.3</v>
      </c>
      <c r="F38" s="157">
        <v>11.2</v>
      </c>
      <c r="G38" s="157">
        <v>26.6</v>
      </c>
      <c r="H38" s="157">
        <v>12.7</v>
      </c>
      <c r="I38" s="157">
        <v>40.2</v>
      </c>
      <c r="J38" s="157">
        <v>-20.9</v>
      </c>
    </row>
    <row r="39" spans="1:10" s="267" customFormat="1" ht="16.5" customHeight="1">
      <c r="A39" s="52"/>
      <c r="B39" s="26"/>
      <c r="C39" s="218"/>
      <c r="D39" s="218"/>
      <c r="E39" s="218"/>
      <c r="F39" s="218"/>
      <c r="G39" s="218"/>
      <c r="H39" s="218"/>
      <c r="I39" s="218"/>
      <c r="J39" s="218"/>
    </row>
    <row r="40" spans="1:10" s="267" customFormat="1" ht="16.5" customHeight="1">
      <c r="A40" s="52" t="s">
        <v>715</v>
      </c>
      <c r="B40" s="26" t="s">
        <v>711</v>
      </c>
      <c r="C40" s="173">
        <v>510</v>
      </c>
      <c r="D40" s="173">
        <v>396</v>
      </c>
      <c r="E40" s="173">
        <v>521</v>
      </c>
      <c r="F40" s="173">
        <v>459</v>
      </c>
      <c r="G40" s="173">
        <v>839</v>
      </c>
      <c r="H40" s="173">
        <v>586</v>
      </c>
      <c r="I40" s="173">
        <v>470</v>
      </c>
      <c r="J40" s="173">
        <v>398</v>
      </c>
    </row>
    <row r="41" spans="1:10" s="267" customFormat="1" ht="16.5" customHeight="1">
      <c r="A41" s="52"/>
      <c r="B41" s="26" t="s">
        <v>695</v>
      </c>
      <c r="C41" s="276" t="s">
        <v>712</v>
      </c>
      <c r="D41" s="157">
        <v>-22.4</v>
      </c>
      <c r="E41" s="157">
        <v>31.6</v>
      </c>
      <c r="F41" s="157">
        <v>6.5</v>
      </c>
      <c r="G41" s="157">
        <v>175.1</v>
      </c>
      <c r="H41" s="157">
        <v>117.8</v>
      </c>
      <c r="I41" s="157">
        <v>33.9</v>
      </c>
      <c r="J41" s="157">
        <v>-13.3</v>
      </c>
    </row>
    <row r="42" spans="1:10" s="267" customFormat="1" ht="16.5" customHeight="1">
      <c r="A42" s="52"/>
      <c r="B42" s="26"/>
      <c r="C42" s="218"/>
      <c r="D42" s="218"/>
      <c r="E42" s="218"/>
      <c r="F42" s="218"/>
      <c r="G42" s="218"/>
      <c r="H42" s="218"/>
      <c r="I42" s="218"/>
      <c r="J42" s="218"/>
    </row>
    <row r="43" spans="1:10" s="267" customFormat="1" ht="16.5" customHeight="1">
      <c r="A43" s="52" t="s">
        <v>716</v>
      </c>
      <c r="B43" s="26" t="s">
        <v>711</v>
      </c>
      <c r="C43" s="173">
        <v>1366</v>
      </c>
      <c r="D43" s="173">
        <v>1916</v>
      </c>
      <c r="E43" s="173">
        <v>1792</v>
      </c>
      <c r="F43" s="173">
        <v>1553</v>
      </c>
      <c r="G43" s="173">
        <v>1697</v>
      </c>
      <c r="H43" s="173">
        <v>1871</v>
      </c>
      <c r="I43" s="173">
        <v>1940</v>
      </c>
      <c r="J43" s="173">
        <v>1887</v>
      </c>
    </row>
    <row r="44" spans="1:10" s="9" customFormat="1" ht="16.5" customHeight="1">
      <c r="A44" s="209"/>
      <c r="B44" s="26" t="s">
        <v>695</v>
      </c>
      <c r="C44" s="276" t="s">
        <v>712</v>
      </c>
      <c r="D44" s="157">
        <v>40.3</v>
      </c>
      <c r="E44" s="157">
        <v>-6.5</v>
      </c>
      <c r="F44" s="157">
        <v>6.9</v>
      </c>
      <c r="G44" s="157">
        <v>14</v>
      </c>
      <c r="H44" s="157">
        <v>-0.6</v>
      </c>
      <c r="I44" s="157">
        <v>1.7</v>
      </c>
      <c r="J44" s="157">
        <v>21.5</v>
      </c>
    </row>
    <row r="45" spans="1:10" s="9" customFormat="1" ht="16.5" customHeight="1">
      <c r="A45" s="209"/>
      <c r="B45" s="26"/>
      <c r="C45" s="218"/>
      <c r="D45" s="218"/>
      <c r="E45" s="218"/>
      <c r="F45" s="218"/>
      <c r="G45" s="218"/>
      <c r="H45" s="218"/>
      <c r="I45" s="218"/>
      <c r="J45" s="218"/>
    </row>
    <row r="46" spans="1:10" s="9" customFormat="1" ht="16.5" customHeight="1">
      <c r="A46" s="52" t="s">
        <v>719</v>
      </c>
      <c r="B46" s="26" t="s">
        <v>711</v>
      </c>
      <c r="C46" s="173">
        <v>1104</v>
      </c>
      <c r="D46" s="173">
        <v>1256</v>
      </c>
      <c r="E46" s="173">
        <v>1190</v>
      </c>
      <c r="F46" s="173">
        <v>882</v>
      </c>
      <c r="G46" s="173">
        <v>1129</v>
      </c>
      <c r="H46" s="173">
        <v>865</v>
      </c>
      <c r="I46" s="173">
        <v>1070</v>
      </c>
      <c r="J46" s="173">
        <v>1143</v>
      </c>
    </row>
    <row r="47" spans="1:10" s="9" customFormat="1" ht="16.5" customHeight="1">
      <c r="A47" s="52"/>
      <c r="B47" s="26" t="s">
        <v>695</v>
      </c>
      <c r="C47" s="276" t="s">
        <v>712</v>
      </c>
      <c r="D47" s="157">
        <v>13.8</v>
      </c>
      <c r="E47" s="157">
        <v>-5.3</v>
      </c>
      <c r="F47" s="157">
        <v>-32.8</v>
      </c>
      <c r="G47" s="157">
        <v>11.8</v>
      </c>
      <c r="H47" s="157">
        <v>-18.3</v>
      </c>
      <c r="I47" s="157">
        <v>-20.3</v>
      </c>
      <c r="J47" s="157">
        <v>29.6</v>
      </c>
    </row>
    <row r="48" spans="1:10" s="9" customFormat="1" ht="16.5" customHeight="1">
      <c r="A48" s="52"/>
      <c r="B48" s="26"/>
      <c r="C48" s="218"/>
      <c r="D48" s="218"/>
      <c r="E48" s="218"/>
      <c r="F48" s="218"/>
      <c r="G48" s="218"/>
      <c r="H48" s="218"/>
      <c r="I48" s="218"/>
      <c r="J48" s="218"/>
    </row>
    <row r="49" spans="1:10" s="9" customFormat="1" ht="16.5" customHeight="1">
      <c r="A49" s="52" t="s">
        <v>720</v>
      </c>
      <c r="B49" s="26" t="s">
        <v>711</v>
      </c>
      <c r="C49" s="173">
        <v>1254</v>
      </c>
      <c r="D49" s="173">
        <v>1281</v>
      </c>
      <c r="E49" s="173">
        <v>1097</v>
      </c>
      <c r="F49" s="173">
        <v>1431</v>
      </c>
      <c r="G49" s="173">
        <v>976</v>
      </c>
      <c r="H49" s="173">
        <v>1007</v>
      </c>
      <c r="I49" s="173">
        <v>1239</v>
      </c>
      <c r="J49" s="173">
        <v>1440</v>
      </c>
    </row>
    <row r="50" spans="1:10" s="9" customFormat="1" ht="16.5" customHeight="1">
      <c r="A50" s="52"/>
      <c r="B50" s="26" t="s">
        <v>695</v>
      </c>
      <c r="C50" s="276" t="s">
        <v>712</v>
      </c>
      <c r="D50" s="157">
        <v>2.2</v>
      </c>
      <c r="E50" s="157">
        <v>-14.4</v>
      </c>
      <c r="F50" s="157">
        <v>47.1</v>
      </c>
      <c r="G50" s="157">
        <v>-18.2</v>
      </c>
      <c r="H50" s="157">
        <v>-20</v>
      </c>
      <c r="I50" s="157">
        <v>26.7</v>
      </c>
      <c r="J50" s="157">
        <v>0.6</v>
      </c>
    </row>
    <row r="51" spans="1:10" s="9" customFormat="1" ht="16.5" customHeight="1">
      <c r="A51" s="52"/>
      <c r="B51" s="26"/>
      <c r="C51" s="218"/>
      <c r="D51" s="218"/>
      <c r="E51" s="218"/>
      <c r="F51" s="218"/>
      <c r="G51" s="218"/>
      <c r="H51" s="218"/>
      <c r="I51" s="218"/>
      <c r="J51" s="218"/>
    </row>
    <row r="52" spans="1:10" s="9" customFormat="1" ht="16.5" customHeight="1">
      <c r="A52" s="52" t="s">
        <v>721</v>
      </c>
      <c r="B52" s="26" t="s">
        <v>711</v>
      </c>
      <c r="C52" s="173">
        <v>1147</v>
      </c>
      <c r="D52" s="173">
        <v>1554</v>
      </c>
      <c r="E52" s="173">
        <v>1024</v>
      </c>
      <c r="F52" s="173">
        <v>991</v>
      </c>
      <c r="G52" s="173">
        <v>1000</v>
      </c>
      <c r="H52" s="173">
        <v>1116</v>
      </c>
      <c r="I52" s="173">
        <v>1164</v>
      </c>
      <c r="J52" s="173">
        <v>1955</v>
      </c>
    </row>
    <row r="53" spans="1:10" s="9" customFormat="1" ht="16.5" customHeight="1">
      <c r="A53" s="52"/>
      <c r="B53" s="26" t="s">
        <v>695</v>
      </c>
      <c r="C53" s="276" t="s">
        <v>712</v>
      </c>
      <c r="D53" s="157">
        <v>35.5</v>
      </c>
      <c r="E53" s="157">
        <v>-34.1</v>
      </c>
      <c r="F53" s="157">
        <v>-20.3</v>
      </c>
      <c r="G53" s="157">
        <v>-35.8</v>
      </c>
      <c r="H53" s="157">
        <v>-26.2</v>
      </c>
      <c r="I53" s="157">
        <v>32.6</v>
      </c>
      <c r="J53" s="157">
        <v>97.3</v>
      </c>
    </row>
    <row r="54" spans="1:10" s="9" customFormat="1" ht="16.5" customHeight="1">
      <c r="A54" s="52"/>
      <c r="B54" s="26"/>
      <c r="C54" s="218"/>
      <c r="D54" s="218"/>
      <c r="E54" s="218"/>
      <c r="F54" s="218"/>
      <c r="G54" s="218"/>
      <c r="H54" s="218"/>
      <c r="I54" s="218"/>
      <c r="J54" s="218"/>
    </row>
    <row r="55" spans="1:11" s="267" customFormat="1" ht="16.5" customHeight="1">
      <c r="A55" s="209" t="s">
        <v>722</v>
      </c>
      <c r="B55" s="25"/>
      <c r="C55" s="218">
        <v>1.3</v>
      </c>
      <c r="D55" s="218">
        <v>1.4</v>
      </c>
      <c r="E55" s="218">
        <v>1.3</v>
      </c>
      <c r="F55" s="218">
        <v>1.2</v>
      </c>
      <c r="G55" s="218">
        <v>1.3</v>
      </c>
      <c r="H55" s="218">
        <v>1.3</v>
      </c>
      <c r="I55" s="218">
        <v>1.3</v>
      </c>
      <c r="J55" s="218">
        <v>1.4</v>
      </c>
      <c r="K55" s="166"/>
    </row>
    <row r="56" spans="1:10" s="9" customFormat="1" ht="9.75" customHeight="1">
      <c r="A56" s="269"/>
      <c r="B56" s="178"/>
      <c r="C56" s="271"/>
      <c r="D56" s="271"/>
      <c r="E56" s="271"/>
      <c r="F56" s="271"/>
      <c r="G56" s="271"/>
      <c r="H56" s="271"/>
      <c r="I56" s="271"/>
      <c r="J56" s="271"/>
    </row>
    <row r="57" spans="1:10" s="9" customFormat="1" ht="3.75" customHeight="1">
      <c r="A57" s="209"/>
      <c r="B57" s="52"/>
      <c r="C57" s="277"/>
      <c r="D57" s="277"/>
      <c r="E57" s="277"/>
      <c r="F57" s="277"/>
      <c r="G57" s="277"/>
      <c r="H57" s="277"/>
      <c r="I57" s="277"/>
      <c r="J57" s="277"/>
    </row>
    <row r="58" spans="1:10" s="9" customFormat="1" ht="16.5" customHeight="1">
      <c r="A58" s="35" t="s">
        <v>723</v>
      </c>
      <c r="B58" s="52"/>
      <c r="C58" s="137"/>
      <c r="D58" s="137"/>
      <c r="E58" s="137"/>
      <c r="F58" s="137"/>
      <c r="G58" s="137"/>
      <c r="H58" s="137"/>
      <c r="I58" s="137"/>
      <c r="J58" s="137"/>
    </row>
    <row r="59" spans="1:10" s="9" customFormat="1" ht="16.5" customHeight="1">
      <c r="A59" s="209"/>
      <c r="B59" s="52"/>
      <c r="C59" s="137"/>
      <c r="D59" s="137"/>
      <c r="E59" s="137"/>
      <c r="F59" s="137"/>
      <c r="G59" s="137"/>
      <c r="H59" s="137"/>
      <c r="I59" s="137"/>
      <c r="J59" s="137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99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1.375" style="283" customWidth="1"/>
    <col min="2" max="2" width="10.50390625" style="283" customWidth="1"/>
    <col min="3" max="3" width="8.125" style="283" customWidth="1"/>
    <col min="4" max="6" width="8.125" style="282" customWidth="1"/>
    <col min="7" max="7" width="9.25390625" style="282" customWidth="1"/>
    <col min="8" max="11" width="8.125" style="282" customWidth="1"/>
    <col min="12" max="12" width="8.125" style="283" customWidth="1"/>
    <col min="13" max="16384" width="9.00390625" style="282" customWidth="1"/>
  </cols>
  <sheetData>
    <row r="1" spans="1:12" ht="15" customHeight="1">
      <c r="A1" s="278" t="s">
        <v>724</v>
      </c>
      <c r="B1" s="279"/>
      <c r="C1" s="279"/>
      <c r="D1" s="280"/>
      <c r="E1" s="281"/>
      <c r="F1" s="281"/>
      <c r="G1" s="281"/>
      <c r="H1" s="280"/>
      <c r="I1" s="281"/>
      <c r="J1" s="281"/>
      <c r="K1" s="281"/>
      <c r="L1" s="280"/>
    </row>
    <row r="2" spans="1:12" ht="15" customHeight="1">
      <c r="A2" s="279"/>
      <c r="B2" s="279"/>
      <c r="C2" s="279"/>
      <c r="D2" s="280"/>
      <c r="E2" s="281"/>
      <c r="F2" s="281"/>
      <c r="G2" s="281"/>
      <c r="H2" s="280"/>
      <c r="I2" s="281"/>
      <c r="J2" s="281"/>
      <c r="K2" s="281"/>
      <c r="L2" s="280"/>
    </row>
    <row r="3" spans="1:12" ht="15" customHeight="1">
      <c r="A3" s="279"/>
      <c r="B3" s="279"/>
      <c r="C3" s="279"/>
      <c r="D3" s="280"/>
      <c r="E3" s="281"/>
      <c r="F3" s="281"/>
      <c r="G3" s="281"/>
      <c r="H3" s="280"/>
      <c r="I3" s="281"/>
      <c r="J3" s="281"/>
      <c r="K3" s="281"/>
      <c r="L3" s="280"/>
    </row>
    <row r="4" spans="1:11" ht="15" customHeight="1">
      <c r="A4" s="280" t="s">
        <v>725</v>
      </c>
      <c r="B4" s="279"/>
      <c r="C4" s="279"/>
      <c r="D4" s="280"/>
      <c r="E4" s="281"/>
      <c r="F4" s="281"/>
      <c r="G4" s="281"/>
      <c r="H4" s="280"/>
      <c r="I4" s="281"/>
      <c r="J4" s="281"/>
      <c r="K4" s="281"/>
    </row>
    <row r="5" spans="1:12" ht="15" customHeight="1">
      <c r="A5" s="284"/>
      <c r="B5" s="284"/>
      <c r="C5" s="284"/>
      <c r="D5" s="285"/>
      <c r="E5" s="286"/>
      <c r="F5" s="286"/>
      <c r="G5" s="286"/>
      <c r="H5" s="285"/>
      <c r="I5" s="286"/>
      <c r="J5" s="286"/>
      <c r="K5" s="286"/>
      <c r="L5" s="287" t="s">
        <v>726</v>
      </c>
    </row>
    <row r="6" spans="1:12" ht="15" customHeight="1">
      <c r="A6" s="288"/>
      <c r="B6" s="289"/>
      <c r="C6" s="288"/>
      <c r="D6" s="586">
        <v>1998</v>
      </c>
      <c r="E6" s="589">
        <v>1999</v>
      </c>
      <c r="F6" s="589">
        <v>2000</v>
      </c>
      <c r="G6" s="291">
        <v>2001</v>
      </c>
      <c r="H6" s="292">
        <v>2000</v>
      </c>
      <c r="I6" s="292">
        <v>2000</v>
      </c>
      <c r="J6" s="292">
        <v>2000</v>
      </c>
      <c r="K6" s="292">
        <v>2001</v>
      </c>
      <c r="L6" s="292">
        <v>2001</v>
      </c>
    </row>
    <row r="7" spans="1:12" ht="15" customHeight="1">
      <c r="A7" s="293"/>
      <c r="B7" s="294"/>
      <c r="C7" s="293" t="s">
        <v>727</v>
      </c>
      <c r="D7" s="587"/>
      <c r="E7" s="590"/>
      <c r="F7" s="590"/>
      <c r="G7" s="296" t="s">
        <v>481</v>
      </c>
      <c r="H7" s="297" t="s">
        <v>301</v>
      </c>
      <c r="I7" s="297" t="s">
        <v>302</v>
      </c>
      <c r="J7" s="297" t="s">
        <v>303</v>
      </c>
      <c r="K7" s="297" t="s">
        <v>304</v>
      </c>
      <c r="L7" s="298" t="s">
        <v>301</v>
      </c>
    </row>
    <row r="8" spans="1:12" ht="15" customHeight="1">
      <c r="A8" s="299"/>
      <c r="B8" s="300"/>
      <c r="C8" s="299"/>
      <c r="D8" s="588"/>
      <c r="E8" s="591"/>
      <c r="F8" s="591"/>
      <c r="G8" s="301" t="s">
        <v>301</v>
      </c>
      <c r="H8" s="302"/>
      <c r="I8" s="302"/>
      <c r="J8" s="302"/>
      <c r="K8" s="302"/>
      <c r="L8" s="302"/>
    </row>
    <row r="9" spans="1:12" ht="9.75" customHeight="1">
      <c r="A9" s="293"/>
      <c r="B9" s="294"/>
      <c r="C9" s="303"/>
      <c r="D9" s="290"/>
      <c r="E9" s="290"/>
      <c r="F9" s="290"/>
      <c r="G9" s="304"/>
      <c r="H9" s="297"/>
      <c r="I9" s="297"/>
      <c r="J9" s="297"/>
      <c r="K9" s="297"/>
      <c r="L9" s="297"/>
    </row>
    <row r="10" spans="1:12" ht="15" customHeight="1">
      <c r="A10" s="305" t="s">
        <v>728</v>
      </c>
      <c r="B10" s="306" t="s">
        <v>729</v>
      </c>
      <c r="C10" s="307">
        <v>100</v>
      </c>
      <c r="D10" s="308">
        <v>104.46</v>
      </c>
      <c r="E10" s="308">
        <v>101.12</v>
      </c>
      <c r="F10" s="308">
        <v>99.49</v>
      </c>
      <c r="G10" s="308">
        <v>98.21</v>
      </c>
      <c r="H10" s="308">
        <v>99.56</v>
      </c>
      <c r="I10" s="308">
        <v>99.22</v>
      </c>
      <c r="J10" s="308">
        <v>99.14</v>
      </c>
      <c r="K10" s="308">
        <v>98.39</v>
      </c>
      <c r="L10" s="308">
        <v>98.02</v>
      </c>
    </row>
    <row r="11" spans="1:12" ht="15" customHeight="1">
      <c r="A11" s="309"/>
      <c r="B11" s="306" t="s">
        <v>695</v>
      </c>
      <c r="C11" s="310"/>
      <c r="D11" s="308" t="s">
        <v>730</v>
      </c>
      <c r="E11" s="308">
        <v>-3.2</v>
      </c>
      <c r="F11" s="308">
        <v>-1.61</v>
      </c>
      <c r="G11" s="308">
        <v>-1.59</v>
      </c>
      <c r="H11" s="308">
        <v>-1.84</v>
      </c>
      <c r="I11" s="308">
        <v>-1.15</v>
      </c>
      <c r="J11" s="308">
        <v>-1.07</v>
      </c>
      <c r="K11" s="308">
        <v>-1.65</v>
      </c>
      <c r="L11" s="308">
        <v>-1.55</v>
      </c>
    </row>
    <row r="12" spans="1:12" ht="6.75" customHeight="1">
      <c r="A12" s="309"/>
      <c r="B12" s="311"/>
      <c r="C12" s="310"/>
      <c r="D12" s="308"/>
      <c r="E12" s="308"/>
      <c r="F12" s="308"/>
      <c r="G12" s="308"/>
      <c r="H12" s="308"/>
      <c r="I12" s="308"/>
      <c r="J12" s="308"/>
      <c r="K12" s="308"/>
      <c r="L12" s="308"/>
    </row>
    <row r="13" spans="1:12" ht="15" customHeight="1">
      <c r="A13" s="284" t="s">
        <v>731</v>
      </c>
      <c r="B13" s="306" t="s">
        <v>729</v>
      </c>
      <c r="C13" s="307">
        <v>31.35</v>
      </c>
      <c r="D13" s="308">
        <v>105.91</v>
      </c>
      <c r="E13" s="308">
        <v>101.25</v>
      </c>
      <c r="F13" s="308">
        <v>99.74</v>
      </c>
      <c r="G13" s="308">
        <v>98.73</v>
      </c>
      <c r="H13" s="308">
        <v>100.06</v>
      </c>
      <c r="I13" s="308">
        <v>99.41</v>
      </c>
      <c r="J13" s="308">
        <v>99.13</v>
      </c>
      <c r="K13" s="308">
        <v>98.71</v>
      </c>
      <c r="L13" s="308">
        <v>98.76</v>
      </c>
    </row>
    <row r="14" spans="1:12" ht="15" customHeight="1">
      <c r="A14" s="284"/>
      <c r="B14" s="306" t="s">
        <v>695</v>
      </c>
      <c r="C14" s="307"/>
      <c r="D14" s="308" t="s">
        <v>730</v>
      </c>
      <c r="E14" s="308">
        <v>-4.4</v>
      </c>
      <c r="F14" s="308">
        <v>-1.49</v>
      </c>
      <c r="G14" s="308">
        <v>-1.48</v>
      </c>
      <c r="H14" s="308">
        <v>-1.63</v>
      </c>
      <c r="I14" s="308">
        <v>-0.66</v>
      </c>
      <c r="J14" s="308">
        <v>-0.97</v>
      </c>
      <c r="K14" s="308">
        <v>-1.65</v>
      </c>
      <c r="L14" s="308">
        <v>-1.3</v>
      </c>
    </row>
    <row r="15" spans="1:12" ht="6.75" customHeight="1">
      <c r="A15" s="284"/>
      <c r="B15" s="311"/>
      <c r="C15" s="307"/>
      <c r="D15" s="308"/>
      <c r="E15" s="308"/>
      <c r="F15" s="308"/>
      <c r="G15" s="308"/>
      <c r="H15" s="308"/>
      <c r="I15" s="308"/>
      <c r="J15" s="308"/>
      <c r="K15" s="308"/>
      <c r="L15" s="308"/>
    </row>
    <row r="16" spans="1:12" ht="15" customHeight="1">
      <c r="A16" s="284" t="s">
        <v>732</v>
      </c>
      <c r="B16" s="306" t="s">
        <v>729</v>
      </c>
      <c r="C16" s="307">
        <v>5.26</v>
      </c>
      <c r="D16" s="308">
        <v>103.08</v>
      </c>
      <c r="E16" s="308">
        <v>100.84</v>
      </c>
      <c r="F16" s="308">
        <v>95.35</v>
      </c>
      <c r="G16" s="308">
        <v>92.93</v>
      </c>
      <c r="H16" s="308">
        <v>96.11</v>
      </c>
      <c r="I16" s="308">
        <v>94</v>
      </c>
      <c r="J16" s="308">
        <v>94.24</v>
      </c>
      <c r="K16" s="308">
        <v>93.05</v>
      </c>
      <c r="L16" s="308">
        <v>92.82</v>
      </c>
    </row>
    <row r="17" spans="1:12" ht="15" customHeight="1">
      <c r="A17" s="284"/>
      <c r="B17" s="306" t="s">
        <v>695</v>
      </c>
      <c r="C17" s="307"/>
      <c r="D17" s="308" t="s">
        <v>730</v>
      </c>
      <c r="E17" s="308">
        <v>-2.18</v>
      </c>
      <c r="F17" s="308">
        <v>-5.44</v>
      </c>
      <c r="G17" s="308">
        <v>-3.78</v>
      </c>
      <c r="H17" s="308">
        <v>-6.52</v>
      </c>
      <c r="I17" s="308">
        <v>-5.67</v>
      </c>
      <c r="J17" s="308">
        <v>-4.61</v>
      </c>
      <c r="K17" s="308">
        <v>-4.14</v>
      </c>
      <c r="L17" s="308">
        <v>-3.42</v>
      </c>
    </row>
    <row r="18" spans="1:12" ht="6.75" customHeight="1">
      <c r="A18" s="284"/>
      <c r="B18" s="311"/>
      <c r="C18" s="307"/>
      <c r="D18" s="308"/>
      <c r="E18" s="308"/>
      <c r="F18" s="308"/>
      <c r="G18" s="308"/>
      <c r="H18" s="308"/>
      <c r="I18" s="308"/>
      <c r="J18" s="308"/>
      <c r="K18" s="308"/>
      <c r="L18" s="308"/>
    </row>
    <row r="19" spans="1:12" ht="15" customHeight="1">
      <c r="A19" s="284" t="s">
        <v>733</v>
      </c>
      <c r="B19" s="306" t="s">
        <v>729</v>
      </c>
      <c r="C19" s="307">
        <v>29.93</v>
      </c>
      <c r="D19" s="308">
        <v>104.41</v>
      </c>
      <c r="E19" s="308">
        <v>101.31</v>
      </c>
      <c r="F19" s="308">
        <v>99.54</v>
      </c>
      <c r="G19" s="308">
        <v>98.2</v>
      </c>
      <c r="H19" s="308">
        <v>99.45</v>
      </c>
      <c r="I19" s="308">
        <v>99.27</v>
      </c>
      <c r="J19" s="308">
        <v>99.41</v>
      </c>
      <c r="K19" s="308">
        <v>98.58</v>
      </c>
      <c r="L19" s="308">
        <v>97.82</v>
      </c>
    </row>
    <row r="20" spans="1:12" ht="15" customHeight="1">
      <c r="A20" s="284"/>
      <c r="B20" s="306" t="s">
        <v>695</v>
      </c>
      <c r="C20" s="307"/>
      <c r="D20" s="308" t="s">
        <v>730</v>
      </c>
      <c r="E20" s="308">
        <v>-2.97</v>
      </c>
      <c r="F20" s="308">
        <v>-1.75</v>
      </c>
      <c r="G20" s="308">
        <v>-1.54</v>
      </c>
      <c r="H20" s="308">
        <v>-2.15</v>
      </c>
      <c r="I20" s="308">
        <v>-1.48</v>
      </c>
      <c r="J20" s="308">
        <v>-0.9</v>
      </c>
      <c r="K20" s="308">
        <v>-1.44</v>
      </c>
      <c r="L20" s="308">
        <v>-1.64</v>
      </c>
    </row>
    <row r="21" spans="1:12" ht="6.75" customHeight="1">
      <c r="A21" s="284"/>
      <c r="B21" s="311"/>
      <c r="C21" s="307"/>
      <c r="D21" s="308"/>
      <c r="E21" s="308"/>
      <c r="F21" s="308"/>
      <c r="G21" s="308"/>
      <c r="H21" s="308"/>
      <c r="I21" s="308"/>
      <c r="J21" s="308"/>
      <c r="K21" s="308"/>
      <c r="L21" s="308"/>
    </row>
    <row r="22" spans="1:12" ht="15" customHeight="1">
      <c r="A22" s="284" t="s">
        <v>734</v>
      </c>
      <c r="B22" s="306" t="s">
        <v>729</v>
      </c>
      <c r="C22" s="307">
        <v>1.23</v>
      </c>
      <c r="D22" s="308">
        <v>100.9</v>
      </c>
      <c r="E22" s="308">
        <v>100.7</v>
      </c>
      <c r="F22" s="308">
        <v>99.95</v>
      </c>
      <c r="G22" s="308">
        <v>100.56</v>
      </c>
      <c r="H22" s="308">
        <v>99.89</v>
      </c>
      <c r="I22" s="308">
        <v>100</v>
      </c>
      <c r="J22" s="308">
        <v>100.06</v>
      </c>
      <c r="K22" s="308">
        <v>100.66</v>
      </c>
      <c r="L22" s="308">
        <v>100.45</v>
      </c>
    </row>
    <row r="23" spans="1:12" ht="15" customHeight="1">
      <c r="A23" s="284"/>
      <c r="B23" s="306" t="s">
        <v>695</v>
      </c>
      <c r="C23" s="307"/>
      <c r="D23" s="308" t="s">
        <v>730</v>
      </c>
      <c r="E23" s="308">
        <v>-0.2</v>
      </c>
      <c r="F23" s="308">
        <v>-0.74</v>
      </c>
      <c r="G23" s="308">
        <v>0.68</v>
      </c>
      <c r="H23" s="308">
        <v>-0.89</v>
      </c>
      <c r="I23" s="308">
        <v>-0.5</v>
      </c>
      <c r="J23" s="308">
        <v>-0.33</v>
      </c>
      <c r="K23" s="308">
        <v>0.81</v>
      </c>
      <c r="L23" s="308">
        <v>0.56</v>
      </c>
    </row>
    <row r="24" spans="1:12" ht="6.75" customHeight="1">
      <c r="A24" s="284"/>
      <c r="B24" s="311"/>
      <c r="C24" s="307"/>
      <c r="D24" s="308"/>
      <c r="E24" s="308"/>
      <c r="F24" s="308"/>
      <c r="G24" s="308"/>
      <c r="H24" s="308"/>
      <c r="I24" s="308"/>
      <c r="J24" s="308"/>
      <c r="K24" s="308"/>
      <c r="L24" s="308"/>
    </row>
    <row r="25" spans="1:12" ht="15" customHeight="1">
      <c r="A25" s="284" t="s">
        <v>735</v>
      </c>
      <c r="B25" s="306" t="s">
        <v>729</v>
      </c>
      <c r="C25" s="307">
        <v>3.22</v>
      </c>
      <c r="D25" s="308">
        <v>103.59</v>
      </c>
      <c r="E25" s="308">
        <v>100.8</v>
      </c>
      <c r="F25" s="308">
        <v>99.2</v>
      </c>
      <c r="G25" s="308">
        <v>95.03</v>
      </c>
      <c r="H25" s="308">
        <v>99.63</v>
      </c>
      <c r="I25" s="308">
        <v>99.16</v>
      </c>
      <c r="J25" s="308">
        <v>98.27</v>
      </c>
      <c r="K25" s="308">
        <v>95.41</v>
      </c>
      <c r="L25" s="308">
        <v>94.64</v>
      </c>
    </row>
    <row r="26" spans="1:12" ht="15" customHeight="1">
      <c r="A26" s="284"/>
      <c r="B26" s="306" t="s">
        <v>695</v>
      </c>
      <c r="C26" s="307"/>
      <c r="D26" s="308" t="s">
        <v>730</v>
      </c>
      <c r="E26" s="308">
        <v>-2.7</v>
      </c>
      <c r="F26" s="308">
        <v>-1.59</v>
      </c>
      <c r="G26" s="308">
        <v>-4.67</v>
      </c>
      <c r="H26" s="308">
        <v>-1.64</v>
      </c>
      <c r="I26" s="308">
        <v>-1.38</v>
      </c>
      <c r="J26" s="308">
        <v>-1.88</v>
      </c>
      <c r="K26" s="308">
        <v>-4.32</v>
      </c>
      <c r="L26" s="308">
        <v>-5.01</v>
      </c>
    </row>
    <row r="27" spans="1:12" ht="6.75" customHeight="1">
      <c r="A27" s="284"/>
      <c r="B27" s="311"/>
      <c r="C27" s="307"/>
      <c r="D27" s="308"/>
      <c r="E27" s="308"/>
      <c r="F27" s="308"/>
      <c r="G27" s="308"/>
      <c r="H27" s="308"/>
      <c r="I27" s="308"/>
      <c r="J27" s="308"/>
      <c r="K27" s="308"/>
      <c r="L27" s="308"/>
    </row>
    <row r="28" spans="1:12" ht="15" customHeight="1">
      <c r="A28" s="284" t="s">
        <v>736</v>
      </c>
      <c r="B28" s="306" t="s">
        <v>729</v>
      </c>
      <c r="C28" s="307">
        <v>2.42</v>
      </c>
      <c r="D28" s="308">
        <v>102.45</v>
      </c>
      <c r="E28" s="308">
        <v>99.85</v>
      </c>
      <c r="F28" s="308">
        <v>100.46</v>
      </c>
      <c r="G28" s="308">
        <v>101.05</v>
      </c>
      <c r="H28" s="308">
        <v>100.53</v>
      </c>
      <c r="I28" s="308">
        <v>100.79</v>
      </c>
      <c r="J28" s="308">
        <v>100.29</v>
      </c>
      <c r="K28" s="308">
        <v>100.66</v>
      </c>
      <c r="L28" s="308">
        <v>101.44</v>
      </c>
    </row>
    <row r="29" spans="1:12" ht="15" customHeight="1">
      <c r="A29" s="284"/>
      <c r="B29" s="306" t="s">
        <v>695</v>
      </c>
      <c r="C29" s="307"/>
      <c r="D29" s="308" t="s">
        <v>730</v>
      </c>
      <c r="E29" s="308">
        <v>-2.54</v>
      </c>
      <c r="F29" s="308">
        <v>0.61</v>
      </c>
      <c r="G29" s="308">
        <v>0.66</v>
      </c>
      <c r="H29" s="308">
        <v>0.81</v>
      </c>
      <c r="I29" s="308">
        <v>1.04</v>
      </c>
      <c r="J29" s="308">
        <v>0.34</v>
      </c>
      <c r="K29" s="308">
        <v>0.42</v>
      </c>
      <c r="L29" s="308">
        <v>0.91</v>
      </c>
    </row>
    <row r="30" spans="1:12" ht="6.75" customHeight="1">
      <c r="A30" s="284"/>
      <c r="B30" s="311"/>
      <c r="C30" s="307"/>
      <c r="D30" s="308"/>
      <c r="E30" s="308"/>
      <c r="F30" s="308"/>
      <c r="G30" s="308"/>
      <c r="H30" s="308"/>
      <c r="I30" s="308"/>
      <c r="J30" s="308"/>
      <c r="K30" s="308"/>
      <c r="L30" s="308"/>
    </row>
    <row r="31" spans="1:12" ht="15" customHeight="1">
      <c r="A31" s="284" t="s">
        <v>737</v>
      </c>
      <c r="B31" s="306" t="s">
        <v>729</v>
      </c>
      <c r="C31" s="307">
        <v>9.81</v>
      </c>
      <c r="D31" s="308">
        <v>104.31</v>
      </c>
      <c r="E31" s="308">
        <v>102.17</v>
      </c>
      <c r="F31" s="308">
        <v>100.49</v>
      </c>
      <c r="G31" s="308">
        <v>97.95</v>
      </c>
      <c r="H31" s="308">
        <v>100.19</v>
      </c>
      <c r="I31" s="308">
        <v>100.94</v>
      </c>
      <c r="J31" s="308">
        <v>100.47</v>
      </c>
      <c r="K31" s="308">
        <v>98.4</v>
      </c>
      <c r="L31" s="308">
        <v>97.51</v>
      </c>
    </row>
    <row r="32" spans="1:12" ht="15" customHeight="1">
      <c r="A32" s="284"/>
      <c r="B32" s="306" t="s">
        <v>695</v>
      </c>
      <c r="C32" s="307"/>
      <c r="D32" s="308" t="s">
        <v>730</v>
      </c>
      <c r="E32" s="308">
        <v>-2.05</v>
      </c>
      <c r="F32" s="308">
        <v>-1.65</v>
      </c>
      <c r="G32" s="308">
        <v>-2.31</v>
      </c>
      <c r="H32" s="308">
        <v>-1.59</v>
      </c>
      <c r="I32" s="308">
        <v>-1.37</v>
      </c>
      <c r="J32" s="308">
        <v>-1.24</v>
      </c>
      <c r="K32" s="308">
        <v>-1.93</v>
      </c>
      <c r="L32" s="308">
        <v>-2.67</v>
      </c>
    </row>
    <row r="33" spans="1:12" ht="6.75" customHeight="1">
      <c r="A33" s="284"/>
      <c r="B33" s="311"/>
      <c r="C33" s="307"/>
      <c r="D33" s="308"/>
      <c r="E33" s="308"/>
      <c r="F33" s="308"/>
      <c r="G33" s="308"/>
      <c r="H33" s="308"/>
      <c r="I33" s="308"/>
      <c r="J33" s="308"/>
      <c r="K33" s="308"/>
      <c r="L33" s="308"/>
    </row>
    <row r="34" spans="1:12" ht="15" customHeight="1">
      <c r="A34" s="284" t="s">
        <v>738</v>
      </c>
      <c r="B34" s="306" t="s">
        <v>729</v>
      </c>
      <c r="C34" s="307">
        <v>10.89</v>
      </c>
      <c r="D34" s="308">
        <v>103.03</v>
      </c>
      <c r="E34" s="308">
        <v>100.32</v>
      </c>
      <c r="F34" s="308">
        <v>99.45</v>
      </c>
      <c r="G34" s="308">
        <v>99.24</v>
      </c>
      <c r="H34" s="308">
        <v>99.5</v>
      </c>
      <c r="I34" s="308">
        <v>99.12</v>
      </c>
      <c r="J34" s="308">
        <v>99.27</v>
      </c>
      <c r="K34" s="308">
        <v>99.41</v>
      </c>
      <c r="L34" s="308">
        <v>99.08</v>
      </c>
    </row>
    <row r="35" spans="1:12" ht="15" customHeight="1">
      <c r="A35" s="284"/>
      <c r="B35" s="306" t="s">
        <v>695</v>
      </c>
      <c r="C35" s="307"/>
      <c r="D35" s="308" t="s">
        <v>730</v>
      </c>
      <c r="E35" s="308">
        <v>-2.63</v>
      </c>
      <c r="F35" s="308">
        <v>-0.87</v>
      </c>
      <c r="G35" s="308">
        <v>-0.47</v>
      </c>
      <c r="H35" s="308">
        <v>-0.8</v>
      </c>
      <c r="I35" s="308">
        <v>-0.44</v>
      </c>
      <c r="J35" s="308">
        <v>-0.76</v>
      </c>
      <c r="K35" s="308">
        <v>-0.51</v>
      </c>
      <c r="L35" s="308">
        <v>-0.42</v>
      </c>
    </row>
    <row r="36" spans="1:12" ht="6.75" customHeight="1">
      <c r="A36" s="284"/>
      <c r="B36" s="311"/>
      <c r="C36" s="307"/>
      <c r="D36" s="308"/>
      <c r="E36" s="308"/>
      <c r="F36" s="308"/>
      <c r="G36" s="308"/>
      <c r="H36" s="308"/>
      <c r="I36" s="308"/>
      <c r="J36" s="308"/>
      <c r="K36" s="308"/>
      <c r="L36" s="308"/>
    </row>
    <row r="37" spans="1:12" ht="15" customHeight="1">
      <c r="A37" s="284" t="s">
        <v>739</v>
      </c>
      <c r="B37" s="306" t="s">
        <v>729</v>
      </c>
      <c r="C37" s="307">
        <v>5.89</v>
      </c>
      <c r="D37" s="308">
        <v>102.44</v>
      </c>
      <c r="E37" s="308">
        <v>99.3</v>
      </c>
      <c r="F37" s="308">
        <v>99.49</v>
      </c>
      <c r="G37" s="308">
        <v>98.77</v>
      </c>
      <c r="H37" s="308">
        <v>98.73</v>
      </c>
      <c r="I37" s="308">
        <v>99.08</v>
      </c>
      <c r="J37" s="308">
        <v>99.57</v>
      </c>
      <c r="K37" s="308">
        <v>98.87</v>
      </c>
      <c r="L37" s="308">
        <v>98.68</v>
      </c>
    </row>
    <row r="38" spans="1:12" ht="15" customHeight="1">
      <c r="A38" s="284"/>
      <c r="B38" s="306" t="s">
        <v>695</v>
      </c>
      <c r="C38" s="307"/>
      <c r="D38" s="308" t="s">
        <v>730</v>
      </c>
      <c r="E38" s="308">
        <v>-3.06</v>
      </c>
      <c r="F38" s="308">
        <v>0.19</v>
      </c>
      <c r="G38" s="308">
        <v>-0.89</v>
      </c>
      <c r="H38" s="308">
        <v>0.07</v>
      </c>
      <c r="I38" s="308">
        <v>0.85</v>
      </c>
      <c r="J38" s="308">
        <v>0.69</v>
      </c>
      <c r="K38" s="308">
        <v>-1.71</v>
      </c>
      <c r="L38" s="308">
        <v>-0.05</v>
      </c>
    </row>
    <row r="39" spans="1:12" ht="15" customHeight="1">
      <c r="A39" s="284"/>
      <c r="B39" s="311"/>
      <c r="C39" s="307"/>
      <c r="D39" s="308"/>
      <c r="E39" s="308"/>
      <c r="F39" s="308"/>
      <c r="G39" s="308"/>
      <c r="H39" s="308"/>
      <c r="I39" s="308"/>
      <c r="J39" s="308"/>
      <c r="K39" s="308"/>
      <c r="L39" s="308"/>
    </row>
    <row r="40" spans="1:12" ht="15" customHeight="1">
      <c r="A40" s="309" t="s">
        <v>740</v>
      </c>
      <c r="B40" s="306" t="s">
        <v>729</v>
      </c>
      <c r="C40" s="307">
        <v>100</v>
      </c>
      <c r="D40" s="308">
        <v>104.09</v>
      </c>
      <c r="E40" s="308">
        <v>100.99</v>
      </c>
      <c r="F40" s="308">
        <v>99.56</v>
      </c>
      <c r="G40" s="308">
        <v>98.61</v>
      </c>
      <c r="H40" s="308">
        <v>99.6</v>
      </c>
      <c r="I40" s="308">
        <v>99.25</v>
      </c>
      <c r="J40" s="308">
        <v>99.33</v>
      </c>
      <c r="K40" s="308">
        <v>98.74</v>
      </c>
      <c r="L40" s="308">
        <v>98.48</v>
      </c>
    </row>
    <row r="41" spans="1:12" ht="15" customHeight="1">
      <c r="A41" s="285"/>
      <c r="B41" s="306" t="s">
        <v>695</v>
      </c>
      <c r="C41" s="307"/>
      <c r="D41" s="308" t="s">
        <v>730</v>
      </c>
      <c r="E41" s="308">
        <v>-2.98</v>
      </c>
      <c r="F41" s="308">
        <v>-1.41</v>
      </c>
      <c r="G41" s="308">
        <v>-1.22</v>
      </c>
      <c r="H41" s="308">
        <v>-1.68</v>
      </c>
      <c r="I41" s="308">
        <v>-1</v>
      </c>
      <c r="J41" s="308">
        <v>-0.81</v>
      </c>
      <c r="K41" s="308">
        <v>-1.32</v>
      </c>
      <c r="L41" s="308">
        <v>-1.12</v>
      </c>
    </row>
    <row r="42" spans="1:12" ht="6.75" customHeight="1">
      <c r="A42" s="285"/>
      <c r="B42" s="311"/>
      <c r="C42" s="307"/>
      <c r="D42" s="308"/>
      <c r="E42" s="308"/>
      <c r="F42" s="308"/>
      <c r="G42" s="308"/>
      <c r="H42" s="308"/>
      <c r="I42" s="308"/>
      <c r="J42" s="308"/>
      <c r="K42" s="308"/>
      <c r="L42" s="308"/>
    </row>
    <row r="43" spans="1:12" ht="15" customHeight="1">
      <c r="A43" s="309" t="s">
        <v>741</v>
      </c>
      <c r="B43" s="306" t="s">
        <v>729</v>
      </c>
      <c r="C43" s="307">
        <v>100</v>
      </c>
      <c r="D43" s="308">
        <v>104.15</v>
      </c>
      <c r="E43" s="308">
        <v>101</v>
      </c>
      <c r="F43" s="308">
        <v>99.42</v>
      </c>
      <c r="G43" s="308">
        <v>98.12</v>
      </c>
      <c r="H43" s="308">
        <v>99.51</v>
      </c>
      <c r="I43" s="308">
        <v>99.13</v>
      </c>
      <c r="J43" s="308">
        <v>99.05</v>
      </c>
      <c r="K43" s="308">
        <v>98.32</v>
      </c>
      <c r="L43" s="308">
        <v>97.92</v>
      </c>
    </row>
    <row r="44" spans="1:12" ht="15" customHeight="1">
      <c r="A44" s="285"/>
      <c r="B44" s="306" t="s">
        <v>695</v>
      </c>
      <c r="C44" s="307"/>
      <c r="D44" s="308" t="s">
        <v>730</v>
      </c>
      <c r="E44" s="308">
        <v>-3.02</v>
      </c>
      <c r="F44" s="308">
        <v>-1.57</v>
      </c>
      <c r="G44" s="308">
        <v>-1.63</v>
      </c>
      <c r="H44" s="308">
        <v>-1.79</v>
      </c>
      <c r="I44" s="308">
        <v>-1.11</v>
      </c>
      <c r="J44" s="308">
        <v>-1.08</v>
      </c>
      <c r="K44" s="308">
        <v>-1.66</v>
      </c>
      <c r="L44" s="308">
        <v>-1.6</v>
      </c>
    </row>
    <row r="45" spans="1:12" ht="15" customHeight="1">
      <c r="A45" s="312"/>
      <c r="B45" s="313"/>
      <c r="C45" s="314"/>
      <c r="D45" s="315"/>
      <c r="E45" s="315"/>
      <c r="F45" s="315"/>
      <c r="G45" s="315"/>
      <c r="H45" s="315"/>
      <c r="I45" s="315"/>
      <c r="J45" s="315"/>
      <c r="K45" s="315"/>
      <c r="L45" s="315"/>
    </row>
    <row r="46" spans="1:12" ht="4.5" customHeight="1">
      <c r="A46" s="285"/>
      <c r="B46" s="309"/>
      <c r="C46" s="285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1:12" ht="15" customHeight="1">
      <c r="A47" s="317" t="s">
        <v>742</v>
      </c>
      <c r="B47" s="318"/>
      <c r="C47" s="318"/>
      <c r="D47" s="319"/>
      <c r="E47" s="319"/>
      <c r="F47" s="319"/>
      <c r="G47" s="319"/>
      <c r="H47" s="319"/>
      <c r="I47" s="319"/>
      <c r="J47" s="319"/>
      <c r="K47" s="319"/>
      <c r="L47" s="319"/>
    </row>
    <row r="48" spans="1:12" ht="15" customHeight="1">
      <c r="A48" s="317" t="s">
        <v>743</v>
      </c>
      <c r="B48" s="318"/>
      <c r="C48" s="318"/>
      <c r="D48" s="319"/>
      <c r="E48" s="319"/>
      <c r="F48" s="319"/>
      <c r="G48" s="319"/>
      <c r="H48" s="319"/>
      <c r="I48" s="319"/>
      <c r="J48" s="319"/>
      <c r="K48" s="319"/>
      <c r="L48" s="319"/>
    </row>
    <row r="49" ht="15" customHeight="1"/>
    <row r="50" ht="15" customHeight="1"/>
    <row r="51" spans="1:11" ht="15" customHeight="1">
      <c r="A51" s="280" t="s">
        <v>744</v>
      </c>
      <c r="B51" s="279"/>
      <c r="C51" s="280"/>
      <c r="D51" s="281"/>
      <c r="E51" s="281"/>
      <c r="F51" s="281"/>
      <c r="G51" s="280"/>
      <c r="H51" s="281"/>
      <c r="I51" s="281"/>
      <c r="J51" s="281"/>
      <c r="K51" s="280"/>
    </row>
    <row r="52" spans="1:11" ht="15" customHeight="1">
      <c r="A52" s="284"/>
      <c r="B52" s="284"/>
      <c r="C52" s="312"/>
      <c r="D52" s="312"/>
      <c r="E52" s="312"/>
      <c r="F52" s="286"/>
      <c r="G52" s="285"/>
      <c r="H52" s="286"/>
      <c r="I52" s="286"/>
      <c r="J52" s="286"/>
      <c r="K52" s="285"/>
    </row>
    <row r="53" spans="1:12" ht="15" customHeight="1">
      <c r="A53" s="288"/>
      <c r="B53" s="288"/>
      <c r="E53" s="320"/>
      <c r="F53" s="589">
        <v>2000</v>
      </c>
      <c r="G53" s="291">
        <v>2001</v>
      </c>
      <c r="H53" s="292">
        <v>2000</v>
      </c>
      <c r="I53" s="292">
        <v>2000</v>
      </c>
      <c r="J53" s="292">
        <v>2000</v>
      </c>
      <c r="K53" s="292">
        <v>2001</v>
      </c>
      <c r="L53" s="292">
        <v>2001</v>
      </c>
    </row>
    <row r="54" spans="1:12" ht="15" customHeight="1">
      <c r="A54" s="293"/>
      <c r="B54" s="293"/>
      <c r="E54" s="320"/>
      <c r="F54" s="590"/>
      <c r="G54" s="296" t="s">
        <v>481</v>
      </c>
      <c r="H54" s="297" t="s">
        <v>301</v>
      </c>
      <c r="I54" s="297" t="s">
        <v>302</v>
      </c>
      <c r="J54" s="297" t="s">
        <v>303</v>
      </c>
      <c r="K54" s="297" t="s">
        <v>304</v>
      </c>
      <c r="L54" s="298" t="s">
        <v>301</v>
      </c>
    </row>
    <row r="55" spans="1:12" ht="15" customHeight="1">
      <c r="A55" s="299"/>
      <c r="B55" s="299"/>
      <c r="C55" s="321"/>
      <c r="D55" s="321"/>
      <c r="E55" s="322"/>
      <c r="F55" s="591"/>
      <c r="G55" s="301" t="s">
        <v>301</v>
      </c>
      <c r="H55" s="302"/>
      <c r="I55" s="302"/>
      <c r="J55" s="302"/>
      <c r="K55" s="302"/>
      <c r="L55" s="302"/>
    </row>
    <row r="56" spans="1:12" ht="9.75" customHeight="1">
      <c r="A56" s="293"/>
      <c r="B56" s="293"/>
      <c r="E56" s="320"/>
      <c r="F56" s="295"/>
      <c r="G56" s="304"/>
      <c r="H56" s="304"/>
      <c r="I56" s="304"/>
      <c r="J56" s="304"/>
      <c r="K56" s="304"/>
      <c r="L56" s="304"/>
    </row>
    <row r="57" spans="1:12" ht="15" customHeight="1">
      <c r="A57" s="323" t="s">
        <v>745</v>
      </c>
      <c r="D57" s="584" t="s">
        <v>513</v>
      </c>
      <c r="E57" s="585"/>
      <c r="F57" s="324">
        <v>4594</v>
      </c>
      <c r="G57" s="325">
        <v>2343</v>
      </c>
      <c r="H57" s="325">
        <v>1015</v>
      </c>
      <c r="I57" s="325">
        <v>1112</v>
      </c>
      <c r="J57" s="325">
        <v>1156</v>
      </c>
      <c r="K57" s="326" t="s">
        <v>746</v>
      </c>
      <c r="L57" s="325">
        <v>1160</v>
      </c>
    </row>
    <row r="58" spans="1:12" ht="15" customHeight="1">
      <c r="A58" s="305"/>
      <c r="D58" s="584" t="s">
        <v>747</v>
      </c>
      <c r="E58" s="585"/>
      <c r="F58" s="327" t="s">
        <v>748</v>
      </c>
      <c r="G58" s="328">
        <v>0.7</v>
      </c>
      <c r="H58" s="329" t="s">
        <v>748</v>
      </c>
      <c r="I58" s="329" t="s">
        <v>748</v>
      </c>
      <c r="J58" s="329" t="s">
        <v>748</v>
      </c>
      <c r="K58" s="330" t="s">
        <v>749</v>
      </c>
      <c r="L58" s="328">
        <v>14.26</v>
      </c>
    </row>
    <row r="59" spans="1:12" ht="6.75" customHeight="1">
      <c r="A59" s="305"/>
      <c r="D59" s="309"/>
      <c r="E59" s="320"/>
      <c r="F59" s="327"/>
      <c r="G59" s="316"/>
      <c r="H59" s="316"/>
      <c r="I59" s="316"/>
      <c r="J59" s="316"/>
      <c r="K59" s="316"/>
      <c r="L59" s="316"/>
    </row>
    <row r="60" spans="1:12" ht="15" customHeight="1">
      <c r="A60" s="331" t="s">
        <v>750</v>
      </c>
      <c r="D60" s="584" t="s">
        <v>513</v>
      </c>
      <c r="E60" s="585"/>
      <c r="F60" s="332">
        <v>449</v>
      </c>
      <c r="G60" s="333">
        <v>275</v>
      </c>
      <c r="H60" s="334">
        <v>96</v>
      </c>
      <c r="I60" s="334">
        <v>128</v>
      </c>
      <c r="J60" s="334">
        <v>117</v>
      </c>
      <c r="K60" s="335">
        <v>141</v>
      </c>
      <c r="L60" s="333">
        <v>134</v>
      </c>
    </row>
    <row r="61" spans="1:12" ht="15" customHeight="1">
      <c r="A61" s="285"/>
      <c r="D61" s="584" t="s">
        <v>747</v>
      </c>
      <c r="E61" s="585"/>
      <c r="F61" s="332" t="s">
        <v>748</v>
      </c>
      <c r="G61" s="328">
        <v>34.22</v>
      </c>
      <c r="H61" s="329" t="s">
        <v>748</v>
      </c>
      <c r="I61" s="329" t="s">
        <v>748</v>
      </c>
      <c r="J61" s="329" t="s">
        <v>748</v>
      </c>
      <c r="K61" s="336">
        <v>29.48</v>
      </c>
      <c r="L61" s="328">
        <v>39.59</v>
      </c>
    </row>
    <row r="62" spans="1:12" ht="6.75" customHeight="1">
      <c r="A62" s="285"/>
      <c r="D62" s="309"/>
      <c r="E62" s="320"/>
      <c r="F62" s="332"/>
      <c r="G62" s="316"/>
      <c r="H62" s="316"/>
      <c r="I62" s="316"/>
      <c r="J62" s="316"/>
      <c r="K62" s="316"/>
      <c r="L62" s="316"/>
    </row>
    <row r="63" spans="1:12" ht="15" customHeight="1" hidden="1">
      <c r="A63" s="285" t="s">
        <v>751</v>
      </c>
      <c r="D63" s="284" t="s">
        <v>513</v>
      </c>
      <c r="E63" s="320"/>
      <c r="F63" s="332"/>
      <c r="G63" s="316"/>
      <c r="H63" s="316"/>
      <c r="I63" s="316"/>
      <c r="J63" s="316"/>
      <c r="K63" s="316"/>
      <c r="L63" s="316"/>
    </row>
    <row r="64" spans="1:12" ht="15" customHeight="1" hidden="1">
      <c r="A64" s="285"/>
      <c r="D64" s="284" t="s">
        <v>747</v>
      </c>
      <c r="E64" s="320"/>
      <c r="F64" s="332"/>
      <c r="G64" s="316"/>
      <c r="H64" s="316"/>
      <c r="I64" s="316"/>
      <c r="J64" s="316"/>
      <c r="K64" s="316"/>
      <c r="L64" s="316"/>
    </row>
    <row r="65" spans="1:12" ht="15" customHeight="1" hidden="1">
      <c r="A65" s="285"/>
      <c r="D65" s="309"/>
      <c r="E65" s="320"/>
      <c r="F65" s="332"/>
      <c r="G65" s="316"/>
      <c r="H65" s="316"/>
      <c r="I65" s="316"/>
      <c r="J65" s="316"/>
      <c r="K65" s="316"/>
      <c r="L65" s="316"/>
    </row>
    <row r="66" spans="1:12" ht="15" customHeight="1">
      <c r="A66" s="331" t="s">
        <v>752</v>
      </c>
      <c r="D66" s="584" t="s">
        <v>753</v>
      </c>
      <c r="E66" s="585"/>
      <c r="F66" s="332">
        <v>533</v>
      </c>
      <c r="G66" s="333">
        <v>268</v>
      </c>
      <c r="H66" s="334">
        <v>126</v>
      </c>
      <c r="I66" s="334">
        <v>135</v>
      </c>
      <c r="J66" s="334">
        <v>127</v>
      </c>
      <c r="K66" s="335">
        <v>137</v>
      </c>
      <c r="L66" s="333">
        <v>131</v>
      </c>
    </row>
    <row r="67" spans="1:12" ht="15" customHeight="1">
      <c r="A67" s="285"/>
      <c r="D67" s="584" t="s">
        <v>754</v>
      </c>
      <c r="E67" s="585"/>
      <c r="F67" s="332" t="s">
        <v>755</v>
      </c>
      <c r="G67" s="328">
        <v>-1.11</v>
      </c>
      <c r="H67" s="329" t="s">
        <v>755</v>
      </c>
      <c r="I67" s="329" t="s">
        <v>755</v>
      </c>
      <c r="J67" s="329" t="s">
        <v>755</v>
      </c>
      <c r="K67" s="336">
        <v>-5.45</v>
      </c>
      <c r="L67" s="328">
        <v>3.88</v>
      </c>
    </row>
    <row r="68" spans="1:12" ht="6.75" customHeight="1">
      <c r="A68" s="285"/>
      <c r="D68" s="309"/>
      <c r="E68" s="320"/>
      <c r="F68" s="332"/>
      <c r="G68" s="316"/>
      <c r="H68" s="316"/>
      <c r="I68" s="316"/>
      <c r="J68" s="316"/>
      <c r="K68" s="316"/>
      <c r="L68" s="316"/>
    </row>
    <row r="69" spans="1:12" ht="15" customHeight="1">
      <c r="A69" s="331" t="s">
        <v>756</v>
      </c>
      <c r="D69" s="584" t="s">
        <v>753</v>
      </c>
      <c r="E69" s="585"/>
      <c r="F69" s="332">
        <v>635</v>
      </c>
      <c r="G69" s="333">
        <v>301</v>
      </c>
      <c r="H69" s="334">
        <v>152</v>
      </c>
      <c r="I69" s="334">
        <v>150</v>
      </c>
      <c r="J69" s="334">
        <v>169</v>
      </c>
      <c r="K69" s="335">
        <v>152</v>
      </c>
      <c r="L69" s="333">
        <v>149</v>
      </c>
    </row>
    <row r="70" spans="1:12" ht="15" customHeight="1">
      <c r="A70" s="285"/>
      <c r="D70" s="584" t="s">
        <v>754</v>
      </c>
      <c r="E70" s="585"/>
      <c r="F70" s="332" t="s">
        <v>755</v>
      </c>
      <c r="G70" s="328">
        <v>-4.73</v>
      </c>
      <c r="H70" s="329" t="s">
        <v>755</v>
      </c>
      <c r="I70" s="329" t="s">
        <v>755</v>
      </c>
      <c r="J70" s="329" t="s">
        <v>755</v>
      </c>
      <c r="K70" s="336">
        <v>-7.28</v>
      </c>
      <c r="L70" s="328">
        <v>-1.97</v>
      </c>
    </row>
    <row r="71" spans="1:12" ht="6.75" customHeight="1">
      <c r="A71" s="285"/>
      <c r="D71" s="309"/>
      <c r="E71" s="320"/>
      <c r="F71" s="332"/>
      <c r="G71" s="316"/>
      <c r="H71" s="316"/>
      <c r="I71" s="316"/>
      <c r="J71" s="316"/>
      <c r="K71" s="316"/>
      <c r="L71" s="316"/>
    </row>
    <row r="72" spans="1:12" ht="15" customHeight="1" hidden="1">
      <c r="A72" s="284" t="s">
        <v>757</v>
      </c>
      <c r="D72" s="284" t="s">
        <v>753</v>
      </c>
      <c r="E72" s="320"/>
      <c r="F72" s="332"/>
      <c r="G72" s="316"/>
      <c r="H72" s="316"/>
      <c r="I72" s="316"/>
      <c r="J72" s="316"/>
      <c r="K72" s="316"/>
      <c r="L72" s="316"/>
    </row>
    <row r="73" spans="1:12" ht="15" customHeight="1" hidden="1">
      <c r="A73" s="285"/>
      <c r="D73" s="284" t="s">
        <v>754</v>
      </c>
      <c r="E73" s="320"/>
      <c r="F73" s="332"/>
      <c r="G73" s="316"/>
      <c r="H73" s="316"/>
      <c r="I73" s="316"/>
      <c r="J73" s="316"/>
      <c r="K73" s="316"/>
      <c r="L73" s="316"/>
    </row>
    <row r="74" spans="1:12" ht="15" customHeight="1" hidden="1">
      <c r="A74" s="285"/>
      <c r="D74" s="309"/>
      <c r="E74" s="320"/>
      <c r="F74" s="332"/>
      <c r="G74" s="316"/>
      <c r="H74" s="316"/>
      <c r="I74" s="316"/>
      <c r="J74" s="316"/>
      <c r="K74" s="316"/>
      <c r="L74" s="316"/>
    </row>
    <row r="75" spans="1:12" ht="15" customHeight="1" hidden="1">
      <c r="A75" s="284" t="s">
        <v>758</v>
      </c>
      <c r="D75" s="284" t="s">
        <v>753</v>
      </c>
      <c r="E75" s="320"/>
      <c r="F75" s="332"/>
      <c r="G75" s="316"/>
      <c r="H75" s="316"/>
      <c r="I75" s="316"/>
      <c r="J75" s="316"/>
      <c r="K75" s="316"/>
      <c r="L75" s="316"/>
    </row>
    <row r="76" spans="1:12" ht="15" customHeight="1" hidden="1">
      <c r="A76" s="285"/>
      <c r="D76" s="284" t="s">
        <v>754</v>
      </c>
      <c r="E76" s="320"/>
      <c r="F76" s="332"/>
      <c r="G76" s="316"/>
      <c r="H76" s="316"/>
      <c r="I76" s="316"/>
      <c r="J76" s="316"/>
      <c r="K76" s="316"/>
      <c r="L76" s="316"/>
    </row>
    <row r="77" spans="1:12" ht="15" customHeight="1" hidden="1">
      <c r="A77" s="285"/>
      <c r="D77" s="309"/>
      <c r="E77" s="320"/>
      <c r="F77" s="332"/>
      <c r="G77" s="316"/>
      <c r="H77" s="316"/>
      <c r="I77" s="316"/>
      <c r="J77" s="316"/>
      <c r="K77" s="316"/>
      <c r="L77" s="316"/>
    </row>
    <row r="78" spans="1:12" ht="15" customHeight="1" hidden="1">
      <c r="A78" s="284" t="s">
        <v>759</v>
      </c>
      <c r="D78" s="284" t="s">
        <v>753</v>
      </c>
      <c r="E78" s="320"/>
      <c r="F78" s="332"/>
      <c r="G78" s="316"/>
      <c r="H78" s="316"/>
      <c r="I78" s="316"/>
      <c r="J78" s="316"/>
      <c r="K78" s="316"/>
      <c r="L78" s="316"/>
    </row>
    <row r="79" spans="1:12" ht="15" customHeight="1" hidden="1">
      <c r="A79" s="285"/>
      <c r="D79" s="284" t="s">
        <v>754</v>
      </c>
      <c r="E79" s="320"/>
      <c r="F79" s="332"/>
      <c r="G79" s="316"/>
      <c r="H79" s="316"/>
      <c r="I79" s="316"/>
      <c r="J79" s="316"/>
      <c r="K79" s="316"/>
      <c r="L79" s="316"/>
    </row>
    <row r="80" spans="1:12" ht="15" customHeight="1" hidden="1">
      <c r="A80" s="285"/>
      <c r="D80" s="309"/>
      <c r="E80" s="320"/>
      <c r="F80" s="332"/>
      <c r="G80" s="316"/>
      <c r="H80" s="316"/>
      <c r="I80" s="316"/>
      <c r="J80" s="316"/>
      <c r="K80" s="316"/>
      <c r="L80" s="316"/>
    </row>
    <row r="81" spans="1:12" ht="15" customHeight="1" hidden="1">
      <c r="A81" s="285" t="s">
        <v>760</v>
      </c>
      <c r="D81" s="284" t="s">
        <v>753</v>
      </c>
      <c r="E81" s="320"/>
      <c r="F81" s="332"/>
      <c r="G81" s="316"/>
      <c r="H81" s="316"/>
      <c r="I81" s="316"/>
      <c r="J81" s="316"/>
      <c r="K81" s="316"/>
      <c r="L81" s="316"/>
    </row>
    <row r="82" spans="1:12" ht="15" customHeight="1" hidden="1">
      <c r="A82" s="285"/>
      <c r="D82" s="284" t="s">
        <v>754</v>
      </c>
      <c r="E82" s="320"/>
      <c r="F82" s="332"/>
      <c r="G82" s="316"/>
      <c r="H82" s="316"/>
      <c r="I82" s="316"/>
      <c r="J82" s="316"/>
      <c r="K82" s="316"/>
      <c r="L82" s="316"/>
    </row>
    <row r="83" spans="1:12" ht="15" customHeight="1" hidden="1">
      <c r="A83" s="285"/>
      <c r="D83" s="309"/>
      <c r="E83" s="320"/>
      <c r="F83" s="332"/>
      <c r="G83" s="316"/>
      <c r="H83" s="316"/>
      <c r="I83" s="316"/>
      <c r="J83" s="316"/>
      <c r="K83" s="316"/>
      <c r="L83" s="316"/>
    </row>
    <row r="84" spans="1:12" ht="15" customHeight="1" hidden="1">
      <c r="A84" s="284" t="s">
        <v>761</v>
      </c>
      <c r="D84" s="284" t="s">
        <v>753</v>
      </c>
      <c r="E84" s="320"/>
      <c r="F84" s="332"/>
      <c r="G84" s="316"/>
      <c r="H84" s="316"/>
      <c r="I84" s="316"/>
      <c r="J84" s="316"/>
      <c r="K84" s="316"/>
      <c r="L84" s="316"/>
    </row>
    <row r="85" spans="1:12" ht="15" customHeight="1" hidden="1">
      <c r="A85" s="285"/>
      <c r="D85" s="284" t="s">
        <v>754</v>
      </c>
      <c r="E85" s="320"/>
      <c r="F85" s="332"/>
      <c r="G85" s="316"/>
      <c r="H85" s="316"/>
      <c r="I85" s="316"/>
      <c r="J85" s="316"/>
      <c r="K85" s="316"/>
      <c r="L85" s="316"/>
    </row>
    <row r="86" spans="1:12" ht="15" customHeight="1" hidden="1">
      <c r="A86" s="285"/>
      <c r="D86" s="309"/>
      <c r="E86" s="320"/>
      <c r="F86" s="332"/>
      <c r="G86" s="316"/>
      <c r="H86" s="316"/>
      <c r="I86" s="316"/>
      <c r="J86" s="316"/>
      <c r="K86" s="316"/>
      <c r="L86" s="316"/>
    </row>
    <row r="87" spans="1:12" ht="15" customHeight="1">
      <c r="A87" s="331" t="s">
        <v>762</v>
      </c>
      <c r="D87" s="584" t="s">
        <v>458</v>
      </c>
      <c r="E87" s="585"/>
      <c r="F87" s="332">
        <v>348</v>
      </c>
      <c r="G87" s="333">
        <v>225</v>
      </c>
      <c r="H87" s="334">
        <v>62</v>
      </c>
      <c r="I87" s="334">
        <v>52</v>
      </c>
      <c r="J87" s="334">
        <v>108</v>
      </c>
      <c r="K87" s="335">
        <v>114</v>
      </c>
      <c r="L87" s="333">
        <v>111</v>
      </c>
    </row>
    <row r="88" spans="1:12" ht="15" customHeight="1">
      <c r="A88" s="285"/>
      <c r="D88" s="584" t="s">
        <v>695</v>
      </c>
      <c r="E88" s="585"/>
      <c r="F88" s="332" t="s">
        <v>730</v>
      </c>
      <c r="G88" s="328">
        <v>19.98</v>
      </c>
      <c r="H88" s="329" t="s">
        <v>730</v>
      </c>
      <c r="I88" s="329" t="s">
        <v>730</v>
      </c>
      <c r="J88" s="329" t="s">
        <v>730</v>
      </c>
      <c r="K88" s="336">
        <v>-9.33</v>
      </c>
      <c r="L88" s="328">
        <v>79.47</v>
      </c>
    </row>
    <row r="89" spans="1:12" ht="6.75" customHeight="1">
      <c r="A89" s="285"/>
      <c r="D89" s="309"/>
      <c r="E89" s="320"/>
      <c r="F89" s="332"/>
      <c r="G89" s="316"/>
      <c r="H89" s="316"/>
      <c r="I89" s="316"/>
      <c r="J89" s="316"/>
      <c r="K89" s="316"/>
      <c r="L89" s="316"/>
    </row>
    <row r="90" spans="1:12" ht="15" customHeight="1" hidden="1">
      <c r="A90" s="284" t="s">
        <v>763</v>
      </c>
      <c r="D90" s="284" t="s">
        <v>458</v>
      </c>
      <c r="E90" s="320"/>
      <c r="F90" s="332"/>
      <c r="G90" s="316"/>
      <c r="H90" s="316"/>
      <c r="I90" s="316"/>
      <c r="J90" s="316"/>
      <c r="K90" s="316"/>
      <c r="L90" s="316"/>
    </row>
    <row r="91" spans="1:12" ht="15" customHeight="1" hidden="1">
      <c r="A91" s="285"/>
      <c r="D91" s="284" t="s">
        <v>695</v>
      </c>
      <c r="E91" s="320"/>
      <c r="F91" s="332"/>
      <c r="G91" s="316"/>
      <c r="H91" s="316"/>
      <c r="I91" s="316"/>
      <c r="J91" s="316"/>
      <c r="K91" s="316"/>
      <c r="L91" s="316"/>
    </row>
    <row r="92" spans="1:12" ht="15" customHeight="1" hidden="1">
      <c r="A92" s="285"/>
      <c r="D92" s="309"/>
      <c r="E92" s="320"/>
      <c r="F92" s="332"/>
      <c r="G92" s="316"/>
      <c r="H92" s="316"/>
      <c r="I92" s="316"/>
      <c r="J92" s="316"/>
      <c r="K92" s="316"/>
      <c r="L92" s="316"/>
    </row>
    <row r="93" spans="1:12" ht="15" customHeight="1">
      <c r="A93" s="331" t="s">
        <v>764</v>
      </c>
      <c r="D93" s="584" t="s">
        <v>458</v>
      </c>
      <c r="E93" s="585"/>
      <c r="F93" s="332">
        <v>392</v>
      </c>
      <c r="G93" s="333">
        <v>211</v>
      </c>
      <c r="H93" s="334">
        <v>57</v>
      </c>
      <c r="I93" s="334">
        <v>87</v>
      </c>
      <c r="J93" s="334">
        <v>96</v>
      </c>
      <c r="K93" s="335">
        <v>106</v>
      </c>
      <c r="L93" s="333">
        <v>105</v>
      </c>
    </row>
    <row r="94" spans="1:12" ht="15" customHeight="1">
      <c r="A94" s="285"/>
      <c r="D94" s="584" t="s">
        <v>695</v>
      </c>
      <c r="E94" s="585"/>
      <c r="F94" s="332" t="s">
        <v>730</v>
      </c>
      <c r="G94" s="328">
        <v>1.27</v>
      </c>
      <c r="H94" s="329" t="s">
        <v>730</v>
      </c>
      <c r="I94" s="329" t="s">
        <v>730</v>
      </c>
      <c r="J94" s="329" t="s">
        <v>730</v>
      </c>
      <c r="K94" s="336">
        <v>-30.11</v>
      </c>
      <c r="L94" s="328">
        <v>85.02</v>
      </c>
    </row>
    <row r="95" spans="1:12" ht="6.75" customHeight="1">
      <c r="A95" s="285"/>
      <c r="D95" s="309"/>
      <c r="E95" s="320"/>
      <c r="F95" s="332"/>
      <c r="G95" s="316"/>
      <c r="H95" s="316"/>
      <c r="I95" s="316"/>
      <c r="J95" s="316"/>
      <c r="K95" s="316"/>
      <c r="L95" s="316"/>
    </row>
    <row r="96" spans="1:12" ht="15" customHeight="1">
      <c r="A96" s="331" t="s">
        <v>765</v>
      </c>
      <c r="D96" s="584" t="s">
        <v>526</v>
      </c>
      <c r="E96" s="585"/>
      <c r="F96" s="332">
        <v>265</v>
      </c>
      <c r="G96" s="333">
        <v>118</v>
      </c>
      <c r="H96" s="334">
        <v>59</v>
      </c>
      <c r="I96" s="334">
        <v>63</v>
      </c>
      <c r="J96" s="334">
        <v>60</v>
      </c>
      <c r="K96" s="335">
        <v>57</v>
      </c>
      <c r="L96" s="333">
        <v>61</v>
      </c>
    </row>
    <row r="97" spans="1:12" ht="15" customHeight="1">
      <c r="A97" s="285"/>
      <c r="D97" s="584" t="s">
        <v>766</v>
      </c>
      <c r="E97" s="585"/>
      <c r="F97" s="332" t="s">
        <v>767</v>
      </c>
      <c r="G97" s="328">
        <v>-16.98</v>
      </c>
      <c r="H97" s="329" t="s">
        <v>767</v>
      </c>
      <c r="I97" s="329" t="s">
        <v>767</v>
      </c>
      <c r="J97" s="329" t="s">
        <v>767</v>
      </c>
      <c r="K97" s="336">
        <v>-31.53</v>
      </c>
      <c r="L97" s="328">
        <v>3.71</v>
      </c>
    </row>
    <row r="98" spans="1:12" ht="9.75" customHeight="1">
      <c r="A98" s="312"/>
      <c r="B98" s="339"/>
      <c r="C98" s="321"/>
      <c r="D98" s="321"/>
      <c r="E98" s="322"/>
      <c r="F98" s="340"/>
      <c r="G98" s="315"/>
      <c r="H98" s="315"/>
      <c r="I98" s="315"/>
      <c r="J98" s="315"/>
      <c r="K98" s="315"/>
      <c r="L98" s="315"/>
    </row>
    <row r="99" spans="1:12" s="343" customFormat="1" ht="16.5">
      <c r="A99" s="341"/>
      <c r="B99" s="342"/>
      <c r="C99" s="342"/>
      <c r="L99" s="342"/>
    </row>
  </sheetData>
  <mergeCells count="18">
    <mergeCell ref="D6:D8"/>
    <mergeCell ref="E6:E8"/>
    <mergeCell ref="F6:F8"/>
    <mergeCell ref="F53:F55"/>
    <mergeCell ref="D57:E57"/>
    <mergeCell ref="D58:E58"/>
    <mergeCell ref="D60:E60"/>
    <mergeCell ref="D61:E61"/>
    <mergeCell ref="D66:E66"/>
    <mergeCell ref="D67:E67"/>
    <mergeCell ref="D69:E69"/>
    <mergeCell ref="D70:E70"/>
    <mergeCell ref="D96:E96"/>
    <mergeCell ref="D97:E97"/>
    <mergeCell ref="D87:E87"/>
    <mergeCell ref="D88:E88"/>
    <mergeCell ref="D93:E93"/>
    <mergeCell ref="D94:E9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69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8.75390625" style="23" customWidth="1"/>
    <col min="2" max="2" width="10.375" style="7" customWidth="1"/>
    <col min="3" max="5" width="7.125" style="24" customWidth="1"/>
    <col min="6" max="6" width="7.50390625" style="24" customWidth="1"/>
    <col min="7" max="9" width="7.125" style="24" customWidth="1"/>
    <col min="10" max="10" width="7.125" style="23" customWidth="1"/>
    <col min="11" max="16384" width="9.00390625" style="24" customWidth="1"/>
  </cols>
  <sheetData>
    <row r="1" spans="1:10" s="3" customFormat="1" ht="15" customHeight="1">
      <c r="A1" s="1" t="s">
        <v>768</v>
      </c>
      <c r="B1" s="7"/>
      <c r="C1" s="8"/>
      <c r="D1" s="9"/>
      <c r="E1" s="9"/>
      <c r="F1" s="8"/>
      <c r="G1" s="9"/>
      <c r="H1" s="9"/>
      <c r="I1" s="9"/>
      <c r="J1" s="8"/>
    </row>
    <row r="2" spans="1:10" s="3" customFormat="1" ht="15" customHeight="1">
      <c r="A2" s="4"/>
      <c r="B2" s="7"/>
      <c r="C2" s="8"/>
      <c r="D2" s="9"/>
      <c r="E2" s="9"/>
      <c r="F2" s="8"/>
      <c r="G2" s="9"/>
      <c r="H2" s="9"/>
      <c r="I2" s="9"/>
      <c r="J2" s="8"/>
    </row>
    <row r="3" spans="1:10" s="3" customFormat="1" ht="15" customHeight="1">
      <c r="A3" s="4"/>
      <c r="B3" s="7"/>
      <c r="C3" s="8"/>
      <c r="D3" s="9"/>
      <c r="E3" s="9"/>
      <c r="F3" s="8"/>
      <c r="G3" s="9"/>
      <c r="H3" s="9"/>
      <c r="I3" s="9"/>
      <c r="J3" s="8"/>
    </row>
    <row r="4" spans="1:10" s="3" customFormat="1" ht="15" customHeight="1">
      <c r="A4" s="2" t="s">
        <v>769</v>
      </c>
      <c r="B4" s="7"/>
      <c r="C4" s="8"/>
      <c r="D4" s="9"/>
      <c r="E4" s="9"/>
      <c r="F4" s="8"/>
      <c r="G4" s="9"/>
      <c r="H4" s="9"/>
      <c r="I4" s="9"/>
      <c r="J4" s="8"/>
    </row>
    <row r="5" spans="1:10" s="3" customFormat="1" ht="15" customHeight="1">
      <c r="A5" s="52"/>
      <c r="B5" s="52"/>
      <c r="C5" s="8"/>
      <c r="D5" s="9"/>
      <c r="E5" s="9"/>
      <c r="F5" s="8"/>
      <c r="G5" s="9"/>
      <c r="H5" s="9"/>
      <c r="I5" s="9"/>
      <c r="J5" s="8"/>
    </row>
    <row r="6" spans="1:10" s="3" customFormat="1" ht="19.5" customHeight="1">
      <c r="A6" s="132"/>
      <c r="B6" s="10"/>
      <c r="C6" s="566">
        <v>1998</v>
      </c>
      <c r="D6" s="568">
        <v>1999</v>
      </c>
      <c r="E6" s="570">
        <v>2000</v>
      </c>
      <c r="F6" s="12">
        <v>2000</v>
      </c>
      <c r="G6" s="12">
        <v>2000</v>
      </c>
      <c r="H6" s="12">
        <v>2000</v>
      </c>
      <c r="I6" s="12">
        <v>2001</v>
      </c>
      <c r="J6" s="12">
        <v>2001</v>
      </c>
    </row>
    <row r="7" spans="1:10" s="3" customFormat="1" ht="19.5" customHeight="1">
      <c r="A7" s="141"/>
      <c r="B7" s="15"/>
      <c r="C7" s="567"/>
      <c r="D7" s="569"/>
      <c r="E7" s="571"/>
      <c r="F7" s="19" t="s">
        <v>301</v>
      </c>
      <c r="G7" s="19" t="s">
        <v>302</v>
      </c>
      <c r="H7" s="19" t="s">
        <v>303</v>
      </c>
      <c r="I7" s="19" t="s">
        <v>304</v>
      </c>
      <c r="J7" s="20" t="s">
        <v>301</v>
      </c>
    </row>
    <row r="8" spans="1:10" s="3" customFormat="1" ht="9.75" customHeight="1">
      <c r="A8" s="143"/>
      <c r="B8" s="133"/>
      <c r="C8" s="50"/>
      <c r="D8" s="50"/>
      <c r="E8" s="50"/>
      <c r="F8" s="139"/>
      <c r="G8" s="139"/>
      <c r="H8" s="139"/>
      <c r="I8" s="139"/>
      <c r="J8" s="139"/>
    </row>
    <row r="9" spans="1:10" s="3" customFormat="1" ht="15" customHeight="1">
      <c r="A9" s="52" t="s">
        <v>770</v>
      </c>
      <c r="B9" s="26"/>
      <c r="C9" s="157">
        <v>65.3</v>
      </c>
      <c r="D9" s="157">
        <v>64.7</v>
      </c>
      <c r="E9" s="157">
        <v>63.4</v>
      </c>
      <c r="F9" s="157">
        <v>63.5</v>
      </c>
      <c r="G9" s="157">
        <v>62.4</v>
      </c>
      <c r="H9" s="157">
        <v>63.6</v>
      </c>
      <c r="I9" s="157">
        <v>63.1</v>
      </c>
      <c r="J9" s="157">
        <v>63.6</v>
      </c>
    </row>
    <row r="10" spans="1:10" s="3" customFormat="1" ht="7.5" customHeight="1">
      <c r="A10" s="52"/>
      <c r="B10" s="26"/>
      <c r="C10" s="157"/>
      <c r="D10" s="157"/>
      <c r="E10" s="157"/>
      <c r="F10" s="157"/>
      <c r="G10" s="157"/>
      <c r="H10" s="157"/>
      <c r="I10" s="157"/>
      <c r="J10" s="157"/>
    </row>
    <row r="11" spans="1:10" s="3" customFormat="1" ht="15" customHeight="1">
      <c r="A11" s="52" t="s">
        <v>771</v>
      </c>
      <c r="B11" s="26"/>
      <c r="C11" s="157">
        <v>4.6</v>
      </c>
      <c r="D11" s="157">
        <v>6.4</v>
      </c>
      <c r="E11" s="157">
        <v>6.8</v>
      </c>
      <c r="F11" s="157">
        <v>7.1</v>
      </c>
      <c r="G11" s="157">
        <v>6.7</v>
      </c>
      <c r="H11" s="157">
        <v>6.6</v>
      </c>
      <c r="I11" s="157">
        <v>6.3</v>
      </c>
      <c r="J11" s="157">
        <v>6.4</v>
      </c>
    </row>
    <row r="12" spans="1:10" s="3" customFormat="1" ht="7.5" customHeight="1">
      <c r="A12" s="52"/>
      <c r="B12" s="26"/>
      <c r="C12" s="157"/>
      <c r="D12" s="157"/>
      <c r="E12" s="157"/>
      <c r="F12" s="157"/>
      <c r="G12" s="157"/>
      <c r="H12" s="157"/>
      <c r="I12" s="157"/>
      <c r="J12" s="157"/>
    </row>
    <row r="13" spans="1:10" s="3" customFormat="1" ht="15" customHeight="1">
      <c r="A13" s="52" t="s">
        <v>772</v>
      </c>
      <c r="B13" s="26"/>
      <c r="C13" s="157">
        <v>1.5</v>
      </c>
      <c r="D13" s="157">
        <v>1.3</v>
      </c>
      <c r="E13" s="157">
        <v>2.9</v>
      </c>
      <c r="F13" s="157">
        <v>2.7</v>
      </c>
      <c r="G13" s="157">
        <v>3.2</v>
      </c>
      <c r="H13" s="157">
        <v>3.7</v>
      </c>
      <c r="I13" s="157">
        <v>3.7</v>
      </c>
      <c r="J13" s="157">
        <v>3.5</v>
      </c>
    </row>
    <row r="14" spans="1:10" s="3" customFormat="1" ht="7.5" customHeight="1">
      <c r="A14" s="52"/>
      <c r="B14" s="26"/>
      <c r="C14" s="157"/>
      <c r="D14" s="157"/>
      <c r="E14" s="157"/>
      <c r="F14" s="157"/>
      <c r="G14" s="157"/>
      <c r="H14" s="157"/>
      <c r="I14" s="157"/>
      <c r="J14" s="157"/>
    </row>
    <row r="15" spans="1:10" s="3" customFormat="1" ht="15" customHeight="1">
      <c r="A15" s="174" t="s">
        <v>773</v>
      </c>
      <c r="B15" s="344" t="s">
        <v>774</v>
      </c>
      <c r="C15" s="345">
        <v>430.549</v>
      </c>
      <c r="D15" s="345">
        <v>437.455</v>
      </c>
      <c r="E15" s="345">
        <v>437.903</v>
      </c>
      <c r="F15" s="345">
        <v>437.679</v>
      </c>
      <c r="G15" s="345">
        <v>437.051</v>
      </c>
      <c r="H15" s="345">
        <v>437.903</v>
      </c>
      <c r="I15" s="345">
        <v>438.846</v>
      </c>
      <c r="J15" s="345">
        <v>440.579</v>
      </c>
    </row>
    <row r="16" spans="1:10" s="3" customFormat="1" ht="15" customHeight="1">
      <c r="A16" s="346"/>
      <c r="B16" s="344" t="s">
        <v>695</v>
      </c>
      <c r="C16" s="347">
        <v>2</v>
      </c>
      <c r="D16" s="347">
        <v>1.6039986157208603</v>
      </c>
      <c r="E16" s="347">
        <v>0.10241053365489844</v>
      </c>
      <c r="F16" s="347">
        <v>0.8</v>
      </c>
      <c r="G16" s="347">
        <v>0.03</v>
      </c>
      <c r="H16" s="347">
        <v>0.1</v>
      </c>
      <c r="I16" s="347">
        <v>0.9565481448763286</v>
      </c>
      <c r="J16" s="347">
        <v>0.66258</v>
      </c>
    </row>
    <row r="17" spans="1:10" s="3" customFormat="1" ht="7.5" customHeight="1">
      <c r="A17" s="346"/>
      <c r="B17" s="344"/>
      <c r="C17" s="347"/>
      <c r="D17" s="347"/>
      <c r="E17" s="347"/>
      <c r="F17" s="347"/>
      <c r="G17" s="347"/>
      <c r="H17" s="347"/>
      <c r="I17" s="347"/>
      <c r="J17" s="347"/>
    </row>
    <row r="18" spans="1:10" s="3" customFormat="1" ht="15" customHeight="1">
      <c r="A18" s="174" t="s">
        <v>775</v>
      </c>
      <c r="B18" s="344" t="s">
        <v>774</v>
      </c>
      <c r="C18" s="345">
        <v>210.691</v>
      </c>
      <c r="D18" s="345">
        <v>216.239</v>
      </c>
      <c r="E18" s="345">
        <v>214.611</v>
      </c>
      <c r="F18" s="345">
        <v>213.923</v>
      </c>
      <c r="G18" s="345">
        <v>211.788</v>
      </c>
      <c r="H18" s="345">
        <v>217.007</v>
      </c>
      <c r="I18" s="345">
        <v>216.206</v>
      </c>
      <c r="J18" s="345">
        <v>218.8</v>
      </c>
    </row>
    <row r="19" spans="1:10" s="3" customFormat="1" ht="15" customHeight="1">
      <c r="A19" s="174"/>
      <c r="B19" s="344" t="s">
        <v>695</v>
      </c>
      <c r="C19" s="347">
        <v>1.7</v>
      </c>
      <c r="D19" s="167">
        <v>2.6332401478943104</v>
      </c>
      <c r="E19" s="167">
        <v>-0.7528706662535501</v>
      </c>
      <c r="F19" s="167">
        <v>0</v>
      </c>
      <c r="G19" s="167">
        <v>-2.4</v>
      </c>
      <c r="H19" s="167">
        <v>-2</v>
      </c>
      <c r="I19" s="167">
        <v>0.24945749948994864</v>
      </c>
      <c r="J19" s="167">
        <v>2.3</v>
      </c>
    </row>
    <row r="20" spans="1:10" s="3" customFormat="1" ht="7.5" customHeight="1">
      <c r="A20" s="174"/>
      <c r="B20" s="344"/>
      <c r="C20" s="153"/>
      <c r="D20" s="153"/>
      <c r="E20" s="153"/>
      <c r="F20" s="153"/>
      <c r="G20" s="153"/>
      <c r="H20" s="153"/>
      <c r="I20" s="153"/>
      <c r="J20" s="153"/>
    </row>
    <row r="21" spans="1:10" s="3" customFormat="1" ht="15" customHeight="1">
      <c r="A21" s="174" t="s">
        <v>776</v>
      </c>
      <c r="B21" s="344" t="s">
        <v>774</v>
      </c>
      <c r="C21" s="345">
        <v>201.047</v>
      </c>
      <c r="D21" s="345">
        <v>202.48</v>
      </c>
      <c r="E21" s="345">
        <v>200.098</v>
      </c>
      <c r="F21" s="345">
        <v>198.741</v>
      </c>
      <c r="G21" s="345">
        <v>197.597</v>
      </c>
      <c r="H21" s="345">
        <v>202.666</v>
      </c>
      <c r="I21" s="345">
        <v>202.64</v>
      </c>
      <c r="J21" s="345">
        <v>204.78</v>
      </c>
    </row>
    <row r="22" spans="1:10" s="3" customFormat="1" ht="15" customHeight="1">
      <c r="A22" s="174"/>
      <c r="B22" s="344" t="s">
        <v>695</v>
      </c>
      <c r="C22" s="347">
        <v>0.2</v>
      </c>
      <c r="D22" s="167">
        <v>0.7127686560853894</v>
      </c>
      <c r="E22" s="167">
        <v>-1.1764124851837103</v>
      </c>
      <c r="F22" s="167">
        <v>-0.9</v>
      </c>
      <c r="G22" s="167">
        <v>-2.2</v>
      </c>
      <c r="H22" s="167">
        <v>-2</v>
      </c>
      <c r="I22" s="167">
        <v>0.6731748515786024</v>
      </c>
      <c r="J22" s="167">
        <v>3.04</v>
      </c>
    </row>
    <row r="23" spans="1:10" s="3" customFormat="1" ht="7.5" customHeight="1">
      <c r="A23" s="174"/>
      <c r="B23" s="344"/>
      <c r="C23" s="153"/>
      <c r="D23" s="153"/>
      <c r="E23" s="153"/>
      <c r="F23" s="153"/>
      <c r="G23" s="153"/>
      <c r="H23" s="153"/>
      <c r="I23" s="153"/>
      <c r="J23" s="153"/>
    </row>
    <row r="24" spans="1:10" s="3" customFormat="1" ht="15" customHeight="1">
      <c r="A24" s="174" t="s">
        <v>777</v>
      </c>
      <c r="B24" s="344" t="s">
        <v>774</v>
      </c>
      <c r="C24" s="345">
        <v>9.644</v>
      </c>
      <c r="D24" s="345">
        <v>13.759</v>
      </c>
      <c r="E24" s="345">
        <v>14.513</v>
      </c>
      <c r="F24" s="345">
        <v>15.182</v>
      </c>
      <c r="G24" s="345">
        <v>14.191</v>
      </c>
      <c r="H24" s="345">
        <v>14.341</v>
      </c>
      <c r="I24" s="345">
        <v>13.566</v>
      </c>
      <c r="J24" s="345">
        <v>14</v>
      </c>
    </row>
    <row r="25" spans="1:10" s="3" customFormat="1" ht="15" customHeight="1">
      <c r="A25" s="174"/>
      <c r="B25" s="344" t="s">
        <v>695</v>
      </c>
      <c r="C25" s="347">
        <v>47.7</v>
      </c>
      <c r="D25" s="167">
        <v>42.66901700539196</v>
      </c>
      <c r="E25" s="167">
        <v>5.480049422196378</v>
      </c>
      <c r="F25" s="167">
        <v>13.2</v>
      </c>
      <c r="G25" s="167">
        <v>-5.5</v>
      </c>
      <c r="H25" s="167">
        <v>-1.6</v>
      </c>
      <c r="I25" s="167">
        <v>-5.680317040951112</v>
      </c>
      <c r="J25" s="167">
        <v>-7.6</v>
      </c>
    </row>
    <row r="26" spans="1:10" s="3" customFormat="1" ht="7.5" customHeight="1">
      <c r="A26" s="174"/>
      <c r="B26" s="344"/>
      <c r="C26" s="153"/>
      <c r="D26" s="153"/>
      <c r="E26" s="153"/>
      <c r="F26" s="153"/>
      <c r="G26" s="153"/>
      <c r="H26" s="153"/>
      <c r="I26" s="153"/>
      <c r="J26" s="153"/>
    </row>
    <row r="27" spans="1:10" s="3" customFormat="1" ht="15" customHeight="1">
      <c r="A27" s="174" t="s">
        <v>778</v>
      </c>
      <c r="B27" s="344" t="s">
        <v>774</v>
      </c>
      <c r="C27" s="345">
        <v>32.013</v>
      </c>
      <c r="D27" s="345">
        <v>32.183</v>
      </c>
      <c r="E27" s="345">
        <v>27.221</v>
      </c>
      <c r="F27" s="345">
        <v>28.215</v>
      </c>
      <c r="G27" s="345">
        <v>28.113</v>
      </c>
      <c r="H27" s="345">
        <v>27.221</v>
      </c>
      <c r="I27" s="345">
        <v>25.777</v>
      </c>
      <c r="J27" s="345">
        <v>25.8</v>
      </c>
    </row>
    <row r="28" spans="1:10" s="3" customFormat="1" ht="15" customHeight="1">
      <c r="A28" s="174"/>
      <c r="B28" s="344" t="s">
        <v>695</v>
      </c>
      <c r="C28" s="347">
        <v>7.7</v>
      </c>
      <c r="D28" s="167">
        <v>0.5310342673289029</v>
      </c>
      <c r="E28" s="167">
        <v>-15.418077867196967</v>
      </c>
      <c r="F28" s="167">
        <v>-13.4</v>
      </c>
      <c r="G28" s="167">
        <v>-13.8</v>
      </c>
      <c r="H28" s="167">
        <v>-15.4</v>
      </c>
      <c r="I28" s="167">
        <v>-7.975438220699004</v>
      </c>
      <c r="J28" s="167">
        <v>0.1</v>
      </c>
    </row>
    <row r="29" spans="1:10" s="3" customFormat="1" ht="9.75" customHeight="1">
      <c r="A29" s="177"/>
      <c r="B29" s="178"/>
      <c r="C29" s="348"/>
      <c r="D29" s="348"/>
      <c r="E29" s="348"/>
      <c r="F29" s="348"/>
      <c r="G29" s="348"/>
      <c r="H29" s="348"/>
      <c r="I29" s="348"/>
      <c r="J29" s="348"/>
    </row>
    <row r="33" ht="16.5">
      <c r="A33" s="3" t="s">
        <v>779</v>
      </c>
    </row>
    <row r="34" spans="1:10" ht="16.5">
      <c r="A34" s="3"/>
      <c r="B34" s="24"/>
      <c r="J34" s="24"/>
    </row>
    <row r="35" spans="1:10" s="3" customFormat="1" ht="19.5" customHeight="1">
      <c r="A35" s="132"/>
      <c r="B35" s="10"/>
      <c r="C35" s="566">
        <v>1998</v>
      </c>
      <c r="D35" s="568">
        <v>1999</v>
      </c>
      <c r="E35" s="570">
        <v>2000</v>
      </c>
      <c r="F35" s="12">
        <v>2000</v>
      </c>
      <c r="G35" s="12">
        <v>2000</v>
      </c>
      <c r="H35" s="12">
        <v>2000</v>
      </c>
      <c r="I35" s="12">
        <v>2001</v>
      </c>
      <c r="J35" s="12">
        <v>2001</v>
      </c>
    </row>
    <row r="36" spans="1:10" s="3" customFormat="1" ht="19.5" customHeight="1">
      <c r="A36" s="141"/>
      <c r="B36" s="15"/>
      <c r="C36" s="567"/>
      <c r="D36" s="569"/>
      <c r="E36" s="571"/>
      <c r="F36" s="19" t="s">
        <v>301</v>
      </c>
      <c r="G36" s="19" t="s">
        <v>302</v>
      </c>
      <c r="H36" s="19" t="s">
        <v>303</v>
      </c>
      <c r="I36" s="19" t="s">
        <v>304</v>
      </c>
      <c r="J36" s="20" t="s">
        <v>301</v>
      </c>
    </row>
    <row r="37" spans="1:10" s="3" customFormat="1" ht="9.75" customHeight="1">
      <c r="A37" s="143"/>
      <c r="B37" s="133"/>
      <c r="C37" s="50"/>
      <c r="D37" s="50"/>
      <c r="E37" s="12"/>
      <c r="F37" s="139"/>
      <c r="G37" s="139"/>
      <c r="H37" s="139"/>
      <c r="I37" s="139"/>
      <c r="J37" s="139"/>
    </row>
    <row r="38" spans="1:10" s="267" customFormat="1" ht="16.5" customHeight="1">
      <c r="A38" s="209" t="s">
        <v>780</v>
      </c>
      <c r="B38" s="26" t="s">
        <v>711</v>
      </c>
      <c r="C38" s="349">
        <v>5063</v>
      </c>
      <c r="D38" s="349">
        <v>4889</v>
      </c>
      <c r="E38" s="349">
        <v>4792</v>
      </c>
      <c r="F38" s="350">
        <v>4683</v>
      </c>
      <c r="G38" s="350">
        <v>4810</v>
      </c>
      <c r="H38" s="350">
        <v>4682</v>
      </c>
      <c r="I38" s="350">
        <v>4685</v>
      </c>
      <c r="J38" s="350">
        <v>4600</v>
      </c>
    </row>
    <row r="39" spans="1:11" s="267" customFormat="1" ht="16.5" customHeight="1">
      <c r="A39" s="209"/>
      <c r="B39" s="26" t="s">
        <v>695</v>
      </c>
      <c r="C39" s="351" t="s">
        <v>706</v>
      </c>
      <c r="D39" s="352">
        <v>-3.4366976101125815</v>
      </c>
      <c r="E39" s="352">
        <v>-1.9840458171405193</v>
      </c>
      <c r="F39" s="167">
        <v>-4.3</v>
      </c>
      <c r="G39" s="167">
        <v>-0.1</v>
      </c>
      <c r="H39" s="167">
        <v>-2.1</v>
      </c>
      <c r="I39" s="167">
        <v>-7.502467917077986</v>
      </c>
      <c r="J39" s="167">
        <v>-1.77</v>
      </c>
      <c r="K39" s="353"/>
    </row>
    <row r="40" spans="1:10" s="267" customFormat="1" ht="7.5" customHeight="1">
      <c r="A40" s="209"/>
      <c r="B40" s="26"/>
      <c r="C40" s="354"/>
      <c r="D40" s="354"/>
      <c r="E40" s="354"/>
      <c r="F40" s="355"/>
      <c r="G40" s="355"/>
      <c r="H40" s="355"/>
      <c r="I40" s="347"/>
      <c r="J40" s="347"/>
    </row>
    <row r="41" spans="1:10" s="9" customFormat="1" ht="16.5" customHeight="1">
      <c r="A41" s="52" t="s">
        <v>781</v>
      </c>
      <c r="B41" s="26" t="s">
        <v>711</v>
      </c>
      <c r="C41" s="349">
        <v>3138</v>
      </c>
      <c r="D41" s="349">
        <v>2911</v>
      </c>
      <c r="E41" s="349">
        <v>2944</v>
      </c>
      <c r="F41" s="349">
        <v>2893</v>
      </c>
      <c r="G41" s="349">
        <v>3041</v>
      </c>
      <c r="H41" s="349">
        <v>2943</v>
      </c>
      <c r="I41" s="349">
        <v>2788</v>
      </c>
      <c r="J41" s="349">
        <v>2769</v>
      </c>
    </row>
    <row r="42" spans="1:10" s="9" customFormat="1" ht="16.5" customHeight="1">
      <c r="A42" s="52"/>
      <c r="B42" s="26" t="s">
        <v>695</v>
      </c>
      <c r="C42" s="351" t="s">
        <v>706</v>
      </c>
      <c r="D42" s="352">
        <v>-7.233906947100063</v>
      </c>
      <c r="E42" s="352">
        <v>1.1336310546204054</v>
      </c>
      <c r="F42" s="167">
        <v>-4.8</v>
      </c>
      <c r="G42" s="167">
        <v>7.6</v>
      </c>
      <c r="H42" s="167">
        <v>7.5</v>
      </c>
      <c r="I42" s="167">
        <v>-3.5627810446212385</v>
      </c>
      <c r="J42" s="167">
        <v>-4.28</v>
      </c>
    </row>
    <row r="43" spans="1:10" s="9" customFormat="1" ht="7.5" customHeight="1">
      <c r="A43" s="52"/>
      <c r="B43" s="26"/>
      <c r="C43" s="356"/>
      <c r="D43" s="356"/>
      <c r="E43" s="354"/>
      <c r="F43" s="354"/>
      <c r="G43" s="354"/>
      <c r="H43" s="354"/>
      <c r="I43" s="347"/>
      <c r="J43" s="347"/>
    </row>
    <row r="44" spans="1:10" s="9" customFormat="1" ht="16.5" customHeight="1">
      <c r="A44" s="52" t="s">
        <v>782</v>
      </c>
      <c r="B44" s="26" t="s">
        <v>711</v>
      </c>
      <c r="C44" s="349">
        <v>4997</v>
      </c>
      <c r="D44" s="349">
        <v>4656</v>
      </c>
      <c r="E44" s="349">
        <v>4337</v>
      </c>
      <c r="F44" s="349">
        <v>4177</v>
      </c>
      <c r="G44" s="349">
        <v>4426</v>
      </c>
      <c r="H44" s="349">
        <v>4319</v>
      </c>
      <c r="I44" s="349">
        <v>4107</v>
      </c>
      <c r="J44" s="349">
        <v>4277</v>
      </c>
    </row>
    <row r="45" spans="1:10" s="9" customFormat="1" ht="16.5" customHeight="1">
      <c r="A45" s="52"/>
      <c r="B45" s="26" t="s">
        <v>695</v>
      </c>
      <c r="C45" s="351" t="s">
        <v>706</v>
      </c>
      <c r="D45" s="352">
        <v>-6.824094456674004</v>
      </c>
      <c r="E45" s="352">
        <v>-6.851374570446736</v>
      </c>
      <c r="F45" s="167">
        <v>-9.4</v>
      </c>
      <c r="G45" s="167">
        <v>-7.2</v>
      </c>
      <c r="H45" s="167">
        <v>-7.5</v>
      </c>
      <c r="I45" s="167">
        <v>-8.93569844789357</v>
      </c>
      <c r="J45" s="167">
        <v>2.39</v>
      </c>
    </row>
    <row r="46" spans="1:10" s="9" customFormat="1" ht="7.5" customHeight="1">
      <c r="A46" s="52"/>
      <c r="B46" s="26"/>
      <c r="C46" s="356"/>
      <c r="D46" s="356"/>
      <c r="E46" s="354"/>
      <c r="F46" s="354"/>
      <c r="G46" s="354"/>
      <c r="H46" s="354"/>
      <c r="I46" s="347"/>
      <c r="J46" s="347"/>
    </row>
    <row r="47" spans="1:10" s="9" customFormat="1" ht="16.5" customHeight="1">
      <c r="A47" s="52" t="s">
        <v>783</v>
      </c>
      <c r="B47" s="26" t="s">
        <v>711</v>
      </c>
      <c r="C47" s="349">
        <v>4981</v>
      </c>
      <c r="D47" s="349">
        <v>4699</v>
      </c>
      <c r="E47" s="349">
        <v>4502</v>
      </c>
      <c r="F47" s="349">
        <v>4496</v>
      </c>
      <c r="G47" s="349">
        <v>4364</v>
      </c>
      <c r="H47" s="349">
        <v>4274</v>
      </c>
      <c r="I47" s="349">
        <v>4571</v>
      </c>
      <c r="J47" s="349">
        <v>4264</v>
      </c>
    </row>
    <row r="48" spans="1:10" s="9" customFormat="1" ht="16.5" customHeight="1">
      <c r="A48" s="52"/>
      <c r="B48" s="26" t="s">
        <v>695</v>
      </c>
      <c r="C48" s="351" t="s">
        <v>706</v>
      </c>
      <c r="D48" s="352">
        <v>-5.661513752258583</v>
      </c>
      <c r="E48" s="352">
        <v>-4.192381357735688</v>
      </c>
      <c r="F48" s="167">
        <v>-2.3</v>
      </c>
      <c r="G48" s="167">
        <v>-8.3</v>
      </c>
      <c r="H48" s="167">
        <v>-7.4</v>
      </c>
      <c r="I48" s="167">
        <v>-5.067497403946002</v>
      </c>
      <c r="J48" s="167">
        <v>-5.16</v>
      </c>
    </row>
    <row r="49" spans="1:10" s="9" customFormat="1" ht="7.5" customHeight="1">
      <c r="A49" s="52"/>
      <c r="B49" s="26"/>
      <c r="C49" s="354"/>
      <c r="D49" s="354"/>
      <c r="E49" s="354"/>
      <c r="F49" s="354"/>
      <c r="G49" s="354"/>
      <c r="H49" s="354"/>
      <c r="I49" s="347"/>
      <c r="J49" s="347"/>
    </row>
    <row r="50" spans="1:10" s="9" customFormat="1" ht="16.5" customHeight="1">
      <c r="A50" s="52" t="s">
        <v>784</v>
      </c>
      <c r="B50" s="26" t="s">
        <v>711</v>
      </c>
      <c r="C50" s="349">
        <v>4338</v>
      </c>
      <c r="D50" s="349">
        <v>4401</v>
      </c>
      <c r="E50" s="349">
        <v>4055</v>
      </c>
      <c r="F50" s="349">
        <v>4051</v>
      </c>
      <c r="G50" s="349">
        <v>4182</v>
      </c>
      <c r="H50" s="349">
        <v>4045</v>
      </c>
      <c r="I50" s="349">
        <v>4063</v>
      </c>
      <c r="J50" s="349">
        <v>4011</v>
      </c>
    </row>
    <row r="51" spans="1:10" s="9" customFormat="1" ht="16.5" customHeight="1">
      <c r="A51" s="52"/>
      <c r="B51" s="26" t="s">
        <v>695</v>
      </c>
      <c r="C51" s="351" t="s">
        <v>706</v>
      </c>
      <c r="D51" s="352">
        <v>1.4522821576763485</v>
      </c>
      <c r="E51" s="352">
        <v>-7.861849579640991</v>
      </c>
      <c r="F51" s="167">
        <v>-6.6</v>
      </c>
      <c r="G51" s="167">
        <v>-3.1</v>
      </c>
      <c r="H51" s="167">
        <v>-7.4</v>
      </c>
      <c r="I51" s="167">
        <v>2.549217566885411</v>
      </c>
      <c r="J51" s="167">
        <v>-0.98</v>
      </c>
    </row>
    <row r="52" spans="1:10" s="9" customFormat="1" ht="7.5" customHeight="1">
      <c r="A52" s="357"/>
      <c r="B52" s="26"/>
      <c r="C52" s="354"/>
      <c r="D52" s="354"/>
      <c r="E52" s="354"/>
      <c r="F52" s="354"/>
      <c r="G52" s="354"/>
      <c r="H52" s="354"/>
      <c r="I52" s="347"/>
      <c r="J52" s="347"/>
    </row>
    <row r="53" spans="1:10" s="9" customFormat="1" ht="16.5" customHeight="1">
      <c r="A53" s="8" t="s">
        <v>785</v>
      </c>
      <c r="B53" s="26" t="s">
        <v>711</v>
      </c>
      <c r="C53" s="349">
        <v>5766</v>
      </c>
      <c r="D53" s="349">
        <v>5651</v>
      </c>
      <c r="E53" s="349">
        <v>5637</v>
      </c>
      <c r="F53" s="349">
        <v>5612</v>
      </c>
      <c r="G53" s="349">
        <v>5742</v>
      </c>
      <c r="H53" s="349">
        <v>5549</v>
      </c>
      <c r="I53" s="349">
        <v>5816</v>
      </c>
      <c r="J53" s="349">
        <v>5507</v>
      </c>
    </row>
    <row r="54" spans="1:10" s="9" customFormat="1" ht="16.5" customHeight="1">
      <c r="A54" s="8"/>
      <c r="B54" s="26" t="s">
        <v>695</v>
      </c>
      <c r="C54" s="351" t="s">
        <v>706</v>
      </c>
      <c r="D54" s="352">
        <v>-1.9944502254595906</v>
      </c>
      <c r="E54" s="352">
        <v>-0.2477437621659883</v>
      </c>
      <c r="F54" s="167">
        <v>0.7</v>
      </c>
      <c r="G54" s="167">
        <v>4.8</v>
      </c>
      <c r="H54" s="167">
        <v>-2.2</v>
      </c>
      <c r="I54" s="167">
        <v>3.19375443577005</v>
      </c>
      <c r="J54" s="167">
        <v>-1.87</v>
      </c>
    </row>
    <row r="55" spans="1:10" s="9" customFormat="1" ht="7.5" customHeight="1">
      <c r="A55" s="8"/>
      <c r="B55" s="26"/>
      <c r="C55" s="354"/>
      <c r="D55" s="354"/>
      <c r="E55" s="354"/>
      <c r="F55" s="354"/>
      <c r="G55" s="354"/>
      <c r="H55" s="354"/>
      <c r="I55" s="347"/>
      <c r="J55" s="347"/>
    </row>
    <row r="56" spans="1:10" s="9" customFormat="1" ht="16.5" customHeight="1">
      <c r="A56" s="52" t="s">
        <v>786</v>
      </c>
      <c r="B56" s="26" t="s">
        <v>711</v>
      </c>
      <c r="C56" s="349">
        <v>7828</v>
      </c>
      <c r="D56" s="349">
        <v>7442</v>
      </c>
      <c r="E56" s="349">
        <v>7673</v>
      </c>
      <c r="F56" s="349">
        <v>8005</v>
      </c>
      <c r="G56" s="349">
        <v>7512</v>
      </c>
      <c r="H56" s="349">
        <v>7482</v>
      </c>
      <c r="I56" s="349">
        <v>8215</v>
      </c>
      <c r="J56" s="349">
        <v>7773</v>
      </c>
    </row>
    <row r="57" spans="1:10" s="9" customFormat="1" ht="16.5" customHeight="1">
      <c r="A57" s="52"/>
      <c r="B57" s="26" t="s">
        <v>695</v>
      </c>
      <c r="C57" s="351" t="s">
        <v>706</v>
      </c>
      <c r="D57" s="352">
        <v>-4.931016862544711</v>
      </c>
      <c r="E57" s="352">
        <v>3.1040042999193767</v>
      </c>
      <c r="F57" s="167">
        <v>7.8</v>
      </c>
      <c r="G57" s="167">
        <v>10.2</v>
      </c>
      <c r="H57" s="167">
        <v>5.8</v>
      </c>
      <c r="I57" s="167">
        <v>4.330708661417323</v>
      </c>
      <c r="J57" s="167">
        <v>-2.89</v>
      </c>
    </row>
    <row r="58" spans="1:10" s="9" customFormat="1" ht="7.5" customHeight="1">
      <c r="A58" s="52"/>
      <c r="B58" s="26"/>
      <c r="C58" s="354"/>
      <c r="D58" s="354"/>
      <c r="E58" s="354"/>
      <c r="F58" s="354"/>
      <c r="G58" s="354"/>
      <c r="H58" s="354"/>
      <c r="I58" s="347"/>
      <c r="J58" s="347"/>
    </row>
    <row r="59" spans="1:10" s="9" customFormat="1" ht="16.5" customHeight="1">
      <c r="A59" s="176" t="s">
        <v>787</v>
      </c>
      <c r="B59" s="26" t="s">
        <v>711</v>
      </c>
      <c r="C59" s="349">
        <v>4221</v>
      </c>
      <c r="D59" s="349">
        <v>4367</v>
      </c>
      <c r="E59" s="349">
        <v>3939</v>
      </c>
      <c r="F59" s="349">
        <v>4068</v>
      </c>
      <c r="G59" s="349">
        <v>3973</v>
      </c>
      <c r="H59" s="349">
        <v>3645</v>
      </c>
      <c r="I59" s="349">
        <v>3892</v>
      </c>
      <c r="J59" s="349">
        <v>3802</v>
      </c>
    </row>
    <row r="60" spans="1:10" s="9" customFormat="1" ht="16.5" customHeight="1">
      <c r="A60" s="8"/>
      <c r="B60" s="26" t="s">
        <v>695</v>
      </c>
      <c r="C60" s="351" t="s">
        <v>706</v>
      </c>
      <c r="D60" s="352">
        <v>3.458895996209429</v>
      </c>
      <c r="E60" s="352">
        <v>-9.80077856652164</v>
      </c>
      <c r="F60" s="167">
        <v>-3.8</v>
      </c>
      <c r="G60" s="167">
        <v>-6.9</v>
      </c>
      <c r="H60" s="167">
        <v>-13.8</v>
      </c>
      <c r="I60" s="167">
        <v>-10.13622719926114</v>
      </c>
      <c r="J60" s="167">
        <v>-6.53</v>
      </c>
    </row>
    <row r="61" spans="1:10" s="9" customFormat="1" ht="7.5" customHeight="1">
      <c r="A61" s="8"/>
      <c r="B61" s="26"/>
      <c r="C61" s="354"/>
      <c r="D61" s="354"/>
      <c r="E61" s="354"/>
      <c r="F61" s="354"/>
      <c r="G61" s="354"/>
      <c r="H61" s="354"/>
      <c r="I61" s="347"/>
      <c r="J61" s="347"/>
    </row>
    <row r="62" spans="1:10" s="9" customFormat="1" ht="16.5" customHeight="1">
      <c r="A62" s="52" t="s">
        <v>788</v>
      </c>
      <c r="B62" s="26" t="s">
        <v>711</v>
      </c>
      <c r="C62" s="358">
        <v>12747</v>
      </c>
      <c r="D62" s="358">
        <v>13711</v>
      </c>
      <c r="E62" s="358">
        <v>13692</v>
      </c>
      <c r="F62" s="349">
        <v>12807</v>
      </c>
      <c r="G62" s="349">
        <v>15577</v>
      </c>
      <c r="H62" s="349">
        <v>15512</v>
      </c>
      <c r="I62" s="349">
        <v>12818</v>
      </c>
      <c r="J62" s="349">
        <v>12947</v>
      </c>
    </row>
    <row r="63" spans="1:10" s="9" customFormat="1" ht="16.5" customHeight="1">
      <c r="A63" s="52"/>
      <c r="B63" s="26" t="s">
        <v>695</v>
      </c>
      <c r="C63" s="351" t="s">
        <v>706</v>
      </c>
      <c r="D63" s="352">
        <v>7.562563740487958</v>
      </c>
      <c r="E63" s="352">
        <v>-0.13857486689519363</v>
      </c>
      <c r="F63" s="167">
        <v>-1</v>
      </c>
      <c r="G63" s="167">
        <v>9.1</v>
      </c>
      <c r="H63" s="167">
        <v>6.2</v>
      </c>
      <c r="I63" s="167">
        <v>-1.5136381098732232</v>
      </c>
      <c r="J63" s="167">
        <v>1.09</v>
      </c>
    </row>
    <row r="64" spans="1:10" s="9" customFormat="1" ht="7.5" customHeight="1">
      <c r="A64" s="52"/>
      <c r="B64" s="26"/>
      <c r="C64" s="354"/>
      <c r="D64" s="354"/>
      <c r="E64" s="354"/>
      <c r="F64" s="354"/>
      <c r="G64" s="354"/>
      <c r="H64" s="354"/>
      <c r="I64" s="347"/>
      <c r="J64" s="347"/>
    </row>
    <row r="65" spans="1:10" s="9" customFormat="1" ht="16.5" customHeight="1">
      <c r="A65" s="52" t="s">
        <v>789</v>
      </c>
      <c r="B65" s="26" t="s">
        <v>711</v>
      </c>
      <c r="C65" s="349">
        <v>6447</v>
      </c>
      <c r="D65" s="349">
        <v>6415</v>
      </c>
      <c r="E65" s="349">
        <v>6113</v>
      </c>
      <c r="F65" s="349">
        <v>5861</v>
      </c>
      <c r="G65" s="349">
        <v>6170</v>
      </c>
      <c r="H65" s="349">
        <v>5889</v>
      </c>
      <c r="I65" s="349">
        <v>6117</v>
      </c>
      <c r="J65" s="349">
        <v>6310</v>
      </c>
    </row>
    <row r="66" spans="1:10" s="9" customFormat="1" ht="16.5" customHeight="1">
      <c r="A66" s="52"/>
      <c r="B66" s="26" t="s">
        <v>695</v>
      </c>
      <c r="C66" s="351" t="s">
        <v>706</v>
      </c>
      <c r="D66" s="352">
        <v>-0.4963548937490306</v>
      </c>
      <c r="E66" s="352">
        <v>-4.707716289945441</v>
      </c>
      <c r="F66" s="167">
        <v>-11.3</v>
      </c>
      <c r="G66" s="167">
        <v>0.4</v>
      </c>
      <c r="H66" s="167">
        <v>-7</v>
      </c>
      <c r="I66" s="167">
        <v>-8.687863860277654</v>
      </c>
      <c r="J66" s="167">
        <v>7.66</v>
      </c>
    </row>
    <row r="67" spans="1:10" s="8" customFormat="1" ht="9.75" customHeight="1">
      <c r="A67" s="177"/>
      <c r="B67" s="177"/>
      <c r="C67" s="206"/>
      <c r="D67" s="179"/>
      <c r="E67" s="179"/>
      <c r="F67" s="179"/>
      <c r="G67" s="179"/>
      <c r="H67" s="179"/>
      <c r="I67" s="179"/>
      <c r="J67" s="179"/>
    </row>
    <row r="68" spans="1:10" s="8" customFormat="1" ht="4.5" customHeight="1">
      <c r="A68" s="52"/>
      <c r="B68" s="52"/>
      <c r="C68" s="137"/>
      <c r="D68" s="137"/>
      <c r="E68" s="137"/>
      <c r="F68" s="137"/>
      <c r="G68" s="137"/>
      <c r="H68" s="137"/>
      <c r="I68" s="137"/>
      <c r="J68" s="137"/>
    </row>
    <row r="69" ht="16.5">
      <c r="A69" s="359"/>
    </row>
  </sheetData>
  <mergeCells count="6">
    <mergeCell ref="C6:C7"/>
    <mergeCell ref="D6:D7"/>
    <mergeCell ref="E6:E7"/>
    <mergeCell ref="C35:C36"/>
    <mergeCell ref="D35:D36"/>
    <mergeCell ref="E35:E3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K6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6.375" style="24" customWidth="1"/>
    <col min="2" max="2" width="10.375" style="24" customWidth="1"/>
    <col min="3" max="10" width="6.625" style="24" customWidth="1"/>
    <col min="11" max="11" width="7.625" style="24" customWidth="1"/>
    <col min="12" max="16384" width="9.00390625" style="24" customWidth="1"/>
  </cols>
  <sheetData>
    <row r="1" ht="16.5">
      <c r="A1" s="1" t="s">
        <v>768</v>
      </c>
    </row>
    <row r="4" ht="16.5">
      <c r="A4" s="3" t="s">
        <v>790</v>
      </c>
    </row>
    <row r="5" ht="16.5" customHeight="1">
      <c r="K5" s="34"/>
    </row>
    <row r="6" spans="1:11" s="3" customFormat="1" ht="19.5" customHeight="1">
      <c r="A6" s="132"/>
      <c r="B6" s="10"/>
      <c r="C6" s="566">
        <v>1998</v>
      </c>
      <c r="D6" s="568">
        <v>1999</v>
      </c>
      <c r="E6" s="570">
        <v>2000</v>
      </c>
      <c r="F6" s="12">
        <v>2000</v>
      </c>
      <c r="G6" s="12">
        <v>2000</v>
      </c>
      <c r="H6" s="12">
        <v>2000</v>
      </c>
      <c r="I6" s="12">
        <v>2001</v>
      </c>
      <c r="J6" s="13">
        <v>2001</v>
      </c>
      <c r="K6" s="527" t="s">
        <v>692</v>
      </c>
    </row>
    <row r="7" spans="1:11" s="3" customFormat="1" ht="19.5" customHeight="1">
      <c r="A7" s="141"/>
      <c r="B7" s="15"/>
      <c r="C7" s="567"/>
      <c r="D7" s="569"/>
      <c r="E7" s="571"/>
      <c r="F7" s="19" t="s">
        <v>301</v>
      </c>
      <c r="G7" s="19" t="s">
        <v>302</v>
      </c>
      <c r="H7" s="19" t="s">
        <v>303</v>
      </c>
      <c r="I7" s="19" t="s">
        <v>304</v>
      </c>
      <c r="J7" s="142" t="s">
        <v>301</v>
      </c>
      <c r="K7" s="337"/>
    </row>
    <row r="8" spans="1:11" s="3" customFormat="1" ht="9.75" customHeight="1">
      <c r="A8" s="143"/>
      <c r="B8" s="133"/>
      <c r="C8" s="50"/>
      <c r="D8" s="50"/>
      <c r="E8" s="50"/>
      <c r="F8" s="139"/>
      <c r="G8" s="139"/>
      <c r="H8" s="139"/>
      <c r="I8" s="139"/>
      <c r="J8" s="139"/>
      <c r="K8" s="2"/>
    </row>
    <row r="9" spans="1:11" s="363" customFormat="1" ht="16.5" customHeight="1">
      <c r="A9" s="360" t="s">
        <v>791</v>
      </c>
      <c r="B9" s="361" t="s">
        <v>792</v>
      </c>
      <c r="C9" s="362">
        <v>201.047</v>
      </c>
      <c r="D9" s="362">
        <v>202.48</v>
      </c>
      <c r="E9" s="362">
        <v>200.098</v>
      </c>
      <c r="F9" s="362">
        <v>198.741</v>
      </c>
      <c r="G9" s="362">
        <v>197.597</v>
      </c>
      <c r="H9" s="362">
        <v>202.666</v>
      </c>
      <c r="I9" s="362">
        <v>202.64</v>
      </c>
      <c r="J9" s="362">
        <v>204.78</v>
      </c>
      <c r="K9" s="276">
        <v>100</v>
      </c>
    </row>
    <row r="10" spans="1:11" s="363" customFormat="1" ht="16.5" customHeight="1">
      <c r="A10" s="360"/>
      <c r="B10" s="361" t="s">
        <v>695</v>
      </c>
      <c r="C10" s="157">
        <v>0.2</v>
      </c>
      <c r="D10" s="167">
        <v>0.7127686560853894</v>
      </c>
      <c r="E10" s="167">
        <v>-1.1764124851837103</v>
      </c>
      <c r="F10" s="167">
        <v>-0.9</v>
      </c>
      <c r="G10" s="167">
        <v>-2.2</v>
      </c>
      <c r="H10" s="167">
        <v>-2</v>
      </c>
      <c r="I10" s="167">
        <v>0.6731748515786024</v>
      </c>
      <c r="J10" s="167">
        <v>3.04</v>
      </c>
      <c r="K10" s="364"/>
    </row>
    <row r="11" spans="1:11" s="363" customFormat="1" ht="7.5" customHeight="1">
      <c r="A11" s="360"/>
      <c r="B11" s="361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s="363" customFormat="1" ht="16.5" customHeight="1">
      <c r="A12" s="365" t="s">
        <v>793</v>
      </c>
      <c r="B12" s="361"/>
      <c r="C12" s="347"/>
      <c r="D12" s="347"/>
      <c r="E12" s="347"/>
      <c r="F12" s="347"/>
      <c r="G12" s="347"/>
      <c r="H12" s="347"/>
      <c r="I12" s="347"/>
      <c r="J12" s="347"/>
      <c r="K12" s="347"/>
    </row>
    <row r="13" spans="1:11" s="9" customFormat="1" ht="16.5" customHeight="1">
      <c r="A13" s="52" t="s">
        <v>781</v>
      </c>
      <c r="B13" s="361" t="s">
        <v>792</v>
      </c>
      <c r="C13" s="362">
        <v>41.483</v>
      </c>
      <c r="D13" s="362">
        <v>44.507</v>
      </c>
      <c r="E13" s="362">
        <v>39.322</v>
      </c>
      <c r="F13" s="362">
        <v>40.746</v>
      </c>
      <c r="G13" s="362">
        <v>38.258</v>
      </c>
      <c r="H13" s="362">
        <v>37.541</v>
      </c>
      <c r="I13" s="362">
        <v>43.372</v>
      </c>
      <c r="J13" s="362">
        <v>46.47</v>
      </c>
      <c r="K13" s="167">
        <v>22.7</v>
      </c>
    </row>
    <row r="14" spans="1:11" s="9" customFormat="1" ht="16.5" customHeight="1">
      <c r="A14" s="52"/>
      <c r="B14" s="361" t="s">
        <v>695</v>
      </c>
      <c r="C14" s="364" t="s">
        <v>706</v>
      </c>
      <c r="D14" s="352">
        <v>7.28973314369742</v>
      </c>
      <c r="E14" s="352">
        <v>-11.649852832138755</v>
      </c>
      <c r="F14" s="352">
        <v>-8.8</v>
      </c>
      <c r="G14" s="352">
        <v>-15.5</v>
      </c>
      <c r="H14" s="352">
        <v>-18.3</v>
      </c>
      <c r="I14" s="167">
        <v>6.03882450735905</v>
      </c>
      <c r="J14" s="167">
        <v>14.05</v>
      </c>
      <c r="K14" s="364"/>
    </row>
    <row r="15" spans="1:11" s="9" customFormat="1" ht="7.5" customHeight="1">
      <c r="A15" s="52"/>
      <c r="B15" s="361"/>
      <c r="C15" s="362"/>
      <c r="D15" s="362"/>
      <c r="E15" s="362"/>
      <c r="F15" s="362"/>
      <c r="G15" s="362"/>
      <c r="H15" s="362"/>
      <c r="I15" s="347"/>
      <c r="J15" s="347"/>
      <c r="K15" s="153"/>
    </row>
    <row r="16" spans="1:11" s="9" customFormat="1" ht="16.5" customHeight="1">
      <c r="A16" s="52" t="s">
        <v>782</v>
      </c>
      <c r="B16" s="361" t="s">
        <v>792</v>
      </c>
      <c r="C16" s="362">
        <v>21.018</v>
      </c>
      <c r="D16" s="362">
        <v>16.3</v>
      </c>
      <c r="E16" s="362">
        <v>16.171</v>
      </c>
      <c r="F16" s="362">
        <v>15.027</v>
      </c>
      <c r="G16" s="362">
        <v>16.455</v>
      </c>
      <c r="H16" s="362">
        <v>17.019</v>
      </c>
      <c r="I16" s="362">
        <v>17.519</v>
      </c>
      <c r="J16" s="362">
        <v>17.33</v>
      </c>
      <c r="K16" s="167">
        <v>8.5</v>
      </c>
    </row>
    <row r="17" spans="1:11" s="9" customFormat="1" ht="16.5" customHeight="1">
      <c r="A17" s="52"/>
      <c r="B17" s="361" t="s">
        <v>695</v>
      </c>
      <c r="C17" s="268" t="s">
        <v>794</v>
      </c>
      <c r="D17" s="352">
        <v>-22.447426015795983</v>
      </c>
      <c r="E17" s="352">
        <v>-0.7914110429447934</v>
      </c>
      <c r="F17" s="352">
        <v>2.1</v>
      </c>
      <c r="G17" s="352">
        <v>9.9</v>
      </c>
      <c r="H17" s="352">
        <v>-4</v>
      </c>
      <c r="I17" s="167">
        <v>8.651699330191018</v>
      </c>
      <c r="J17" s="167">
        <v>15.37</v>
      </c>
      <c r="K17" s="364"/>
    </row>
    <row r="18" spans="1:11" s="9" customFormat="1" ht="7.5" customHeight="1">
      <c r="A18" s="52"/>
      <c r="B18" s="361"/>
      <c r="C18" s="362"/>
      <c r="D18" s="362"/>
      <c r="E18" s="362"/>
      <c r="F18" s="362"/>
      <c r="G18" s="362"/>
      <c r="H18" s="362"/>
      <c r="I18" s="347"/>
      <c r="J18" s="347"/>
      <c r="K18" s="153"/>
    </row>
    <row r="19" spans="1:11" s="9" customFormat="1" ht="16.5" customHeight="1">
      <c r="A19" s="52" t="s">
        <v>783</v>
      </c>
      <c r="B19" s="361" t="s">
        <v>792</v>
      </c>
      <c r="C19" s="362">
        <v>33.48</v>
      </c>
      <c r="D19" s="362">
        <v>31.269</v>
      </c>
      <c r="E19" s="362">
        <v>30.883</v>
      </c>
      <c r="F19" s="362">
        <v>30.392</v>
      </c>
      <c r="G19" s="362">
        <v>30.431</v>
      </c>
      <c r="H19" s="362">
        <v>33.967</v>
      </c>
      <c r="I19" s="362">
        <v>31.79</v>
      </c>
      <c r="J19" s="362">
        <v>29.62</v>
      </c>
      <c r="K19" s="167">
        <v>14.5</v>
      </c>
    </row>
    <row r="20" spans="1:11" s="9" customFormat="1" ht="16.5" customHeight="1">
      <c r="A20" s="52"/>
      <c r="B20" s="361" t="s">
        <v>695</v>
      </c>
      <c r="C20" s="268" t="s">
        <v>794</v>
      </c>
      <c r="D20" s="352">
        <v>-6.603942652329746</v>
      </c>
      <c r="E20" s="352">
        <v>-1.2344494547315208</v>
      </c>
      <c r="F20" s="352">
        <v>-5.6</v>
      </c>
      <c r="G20" s="352">
        <v>-1.7</v>
      </c>
      <c r="H20" s="352">
        <v>12.5</v>
      </c>
      <c r="I20" s="167">
        <v>11.087814935178384</v>
      </c>
      <c r="J20" s="167">
        <v>-2.51</v>
      </c>
      <c r="K20" s="364"/>
    </row>
    <row r="21" spans="1:11" s="9" customFormat="1" ht="7.5" customHeight="1">
      <c r="A21" s="52"/>
      <c r="B21" s="361"/>
      <c r="C21" s="362"/>
      <c r="D21" s="362"/>
      <c r="E21" s="362"/>
      <c r="F21" s="362"/>
      <c r="G21" s="362"/>
      <c r="H21" s="362"/>
      <c r="I21" s="347"/>
      <c r="J21" s="347"/>
      <c r="K21" s="153"/>
    </row>
    <row r="22" spans="1:11" s="9" customFormat="1" ht="16.5" customHeight="1">
      <c r="A22" s="52" t="s">
        <v>784</v>
      </c>
      <c r="B22" s="361" t="s">
        <v>792</v>
      </c>
      <c r="C22" s="362">
        <v>23.178</v>
      </c>
      <c r="D22" s="362">
        <v>21.692</v>
      </c>
      <c r="E22" s="362">
        <v>21.572</v>
      </c>
      <c r="F22" s="362">
        <v>19.853</v>
      </c>
      <c r="G22" s="362">
        <v>20.696</v>
      </c>
      <c r="H22" s="362">
        <v>23.284</v>
      </c>
      <c r="I22" s="362">
        <v>23.46</v>
      </c>
      <c r="J22" s="362">
        <v>20.65</v>
      </c>
      <c r="K22" s="167">
        <v>10.1</v>
      </c>
    </row>
    <row r="23" spans="1:11" s="9" customFormat="1" ht="16.5" customHeight="1">
      <c r="A23" s="52"/>
      <c r="B23" s="361" t="s">
        <v>695</v>
      </c>
      <c r="C23" s="268" t="s">
        <v>794</v>
      </c>
      <c r="D23" s="352">
        <v>-6.4112520493571505</v>
      </c>
      <c r="E23" s="352">
        <v>-0.5531993361608012</v>
      </c>
      <c r="F23" s="352">
        <v>-5</v>
      </c>
      <c r="G23" s="352">
        <v>-6.8</v>
      </c>
      <c r="H23" s="352">
        <v>0.7</v>
      </c>
      <c r="I23" s="167">
        <v>4.5268223133131436</v>
      </c>
      <c r="J23" s="167">
        <v>4.01</v>
      </c>
      <c r="K23" s="364"/>
    </row>
    <row r="24" spans="1:11" s="9" customFormat="1" ht="7.5" customHeight="1">
      <c r="A24" s="52"/>
      <c r="B24" s="361"/>
      <c r="C24" s="362"/>
      <c r="D24" s="362"/>
      <c r="E24" s="362"/>
      <c r="F24" s="362"/>
      <c r="G24" s="362"/>
      <c r="H24" s="362"/>
      <c r="I24" s="347"/>
      <c r="J24" s="347"/>
      <c r="K24" s="153"/>
    </row>
    <row r="25" spans="1:11" s="9" customFormat="1" ht="16.5" customHeight="1">
      <c r="A25" s="8" t="s">
        <v>785</v>
      </c>
      <c r="B25" s="361" t="s">
        <v>792</v>
      </c>
      <c r="C25" s="362">
        <v>13.697</v>
      </c>
      <c r="D25" s="362">
        <v>15.016</v>
      </c>
      <c r="E25" s="362">
        <v>14.956</v>
      </c>
      <c r="F25" s="362">
        <v>14.947</v>
      </c>
      <c r="G25" s="362">
        <v>14.898</v>
      </c>
      <c r="H25" s="362">
        <v>13.829</v>
      </c>
      <c r="I25" s="362">
        <v>14.002</v>
      </c>
      <c r="J25" s="362">
        <v>14.41</v>
      </c>
      <c r="K25" s="167">
        <v>7</v>
      </c>
    </row>
    <row r="26" spans="1:11" s="9" customFormat="1" ht="16.5" customHeight="1">
      <c r="A26" s="8"/>
      <c r="B26" s="361" t="s">
        <v>695</v>
      </c>
      <c r="C26" s="268" t="s">
        <v>794</v>
      </c>
      <c r="D26" s="352">
        <v>9.629845951668255</v>
      </c>
      <c r="E26" s="352">
        <v>-0.3995737879595132</v>
      </c>
      <c r="F26" s="352">
        <v>-1</v>
      </c>
      <c r="G26" s="352">
        <v>-3.4</v>
      </c>
      <c r="H26" s="352">
        <v>-6.3</v>
      </c>
      <c r="I26" s="167">
        <v>-13.203570543020088</v>
      </c>
      <c r="J26" s="167">
        <v>-3.55</v>
      </c>
      <c r="K26" s="364"/>
    </row>
    <row r="27" spans="1:11" s="9" customFormat="1" ht="7.5" customHeight="1">
      <c r="A27" s="8"/>
      <c r="B27" s="361"/>
      <c r="C27" s="362"/>
      <c r="D27" s="362"/>
      <c r="E27" s="362"/>
      <c r="F27" s="362"/>
      <c r="G27" s="362"/>
      <c r="H27" s="362"/>
      <c r="I27" s="347"/>
      <c r="J27" s="347"/>
      <c r="K27" s="153"/>
    </row>
    <row r="28" spans="1:11" s="9" customFormat="1" ht="16.5" customHeight="1">
      <c r="A28" s="52" t="s">
        <v>786</v>
      </c>
      <c r="B28" s="361" t="s">
        <v>792</v>
      </c>
      <c r="C28" s="362">
        <v>5.682</v>
      </c>
      <c r="D28" s="362">
        <v>6.011</v>
      </c>
      <c r="E28" s="362">
        <v>7.092</v>
      </c>
      <c r="F28" s="362">
        <v>6.844</v>
      </c>
      <c r="G28" s="362">
        <v>7.358</v>
      </c>
      <c r="H28" s="362">
        <v>7.227</v>
      </c>
      <c r="I28" s="362">
        <v>5.502</v>
      </c>
      <c r="J28" s="362">
        <v>7.05</v>
      </c>
      <c r="K28" s="167">
        <v>3.4</v>
      </c>
    </row>
    <row r="29" spans="1:11" s="9" customFormat="1" ht="16.5" customHeight="1">
      <c r="A29" s="52"/>
      <c r="B29" s="361" t="s">
        <v>695</v>
      </c>
      <c r="C29" s="268" t="s">
        <v>794</v>
      </c>
      <c r="D29" s="352">
        <v>5.790214713129175</v>
      </c>
      <c r="E29" s="352">
        <v>17.983696556313415</v>
      </c>
      <c r="F29" s="352">
        <v>-1.9</v>
      </c>
      <c r="G29" s="352">
        <v>26.3</v>
      </c>
      <c r="H29" s="352">
        <v>46.2</v>
      </c>
      <c r="I29" s="167">
        <v>-20.22618529795564</v>
      </c>
      <c r="J29" s="167">
        <v>3.08</v>
      </c>
      <c r="K29" s="364"/>
    </row>
    <row r="30" spans="1:11" s="9" customFormat="1" ht="7.5" customHeight="1">
      <c r="A30" s="52"/>
      <c r="B30" s="361"/>
      <c r="C30" s="362"/>
      <c r="D30" s="362"/>
      <c r="E30" s="362"/>
      <c r="F30" s="362"/>
      <c r="G30" s="362"/>
      <c r="H30" s="362"/>
      <c r="I30" s="347"/>
      <c r="J30" s="347"/>
      <c r="K30" s="153"/>
    </row>
    <row r="31" spans="1:11" s="9" customFormat="1" ht="16.5" customHeight="1">
      <c r="A31" s="8" t="s">
        <v>787</v>
      </c>
      <c r="B31" s="361" t="s">
        <v>792</v>
      </c>
      <c r="C31" s="362">
        <v>8.341</v>
      </c>
      <c r="D31" s="362">
        <v>9.686</v>
      </c>
      <c r="E31" s="362">
        <v>10.781</v>
      </c>
      <c r="F31" s="362">
        <v>10.807</v>
      </c>
      <c r="G31" s="362">
        <v>10.649</v>
      </c>
      <c r="H31" s="362">
        <v>11.15</v>
      </c>
      <c r="I31" s="362">
        <v>10.549</v>
      </c>
      <c r="J31" s="362">
        <v>10.52</v>
      </c>
      <c r="K31" s="167">
        <v>5.1</v>
      </c>
    </row>
    <row r="32" spans="1:11" s="9" customFormat="1" ht="16.5" customHeight="1">
      <c r="A32" s="8"/>
      <c r="B32" s="361" t="s">
        <v>695</v>
      </c>
      <c r="C32" s="268" t="s">
        <v>794</v>
      </c>
      <c r="D32" s="352">
        <v>16.125164848339537</v>
      </c>
      <c r="E32" s="352">
        <v>11.304976254387784</v>
      </c>
      <c r="F32" s="352">
        <v>13.1</v>
      </c>
      <c r="G32" s="352">
        <v>13.3</v>
      </c>
      <c r="H32" s="352">
        <v>10.5</v>
      </c>
      <c r="I32" s="167">
        <v>-0.37775049579753445</v>
      </c>
      <c r="J32" s="167">
        <v>-2.62</v>
      </c>
      <c r="K32" s="364"/>
    </row>
    <row r="33" spans="1:11" s="9" customFormat="1" ht="7.5" customHeight="1">
      <c r="A33" s="8"/>
      <c r="B33" s="361"/>
      <c r="C33" s="362"/>
      <c r="D33" s="362"/>
      <c r="E33" s="362"/>
      <c r="F33" s="362"/>
      <c r="G33" s="362"/>
      <c r="H33" s="362"/>
      <c r="I33" s="347"/>
      <c r="J33" s="347"/>
      <c r="K33" s="153"/>
    </row>
    <row r="34" spans="1:11" s="9" customFormat="1" ht="16.5" customHeight="1">
      <c r="A34" s="52" t="s">
        <v>788</v>
      </c>
      <c r="B34" s="361" t="s">
        <v>792</v>
      </c>
      <c r="C34" s="362">
        <v>16.358</v>
      </c>
      <c r="D34" s="362">
        <v>16.73</v>
      </c>
      <c r="E34" s="362">
        <v>16.665</v>
      </c>
      <c r="F34" s="362">
        <v>16.832</v>
      </c>
      <c r="G34" s="362">
        <v>17.054</v>
      </c>
      <c r="H34" s="362">
        <v>16.007</v>
      </c>
      <c r="I34" s="362">
        <v>15.488</v>
      </c>
      <c r="J34" s="362">
        <v>16.17</v>
      </c>
      <c r="K34" s="167">
        <v>7.9</v>
      </c>
    </row>
    <row r="35" spans="1:11" s="9" customFormat="1" ht="16.5" customHeight="1">
      <c r="A35" s="52"/>
      <c r="B35" s="361" t="s">
        <v>695</v>
      </c>
      <c r="C35" s="268" t="s">
        <v>794</v>
      </c>
      <c r="D35" s="352">
        <v>2.2741166401760595</v>
      </c>
      <c r="E35" s="352">
        <v>-0.3885236102809401</v>
      </c>
      <c r="F35" s="352">
        <v>1.9</v>
      </c>
      <c r="G35" s="352">
        <v>-6.1</v>
      </c>
      <c r="H35" s="352">
        <v>-3.2</v>
      </c>
      <c r="I35" s="167">
        <v>-7.490144546649153</v>
      </c>
      <c r="J35" s="167">
        <v>-3.9</v>
      </c>
      <c r="K35" s="364"/>
    </row>
    <row r="36" spans="1:11" s="9" customFormat="1" ht="7.5" customHeight="1">
      <c r="A36" s="52"/>
      <c r="B36" s="361"/>
      <c r="C36" s="362"/>
      <c r="D36" s="362"/>
      <c r="E36" s="362"/>
      <c r="F36" s="362"/>
      <c r="G36" s="362"/>
      <c r="H36" s="362"/>
      <c r="I36" s="347"/>
      <c r="J36" s="347"/>
      <c r="K36" s="153"/>
    </row>
    <row r="37" spans="1:11" s="9" customFormat="1" ht="16.5" customHeight="1">
      <c r="A37" s="52" t="s">
        <v>789</v>
      </c>
      <c r="B37" s="361" t="s">
        <v>792</v>
      </c>
      <c r="C37" s="362">
        <v>19.996</v>
      </c>
      <c r="D37" s="362">
        <v>19.779</v>
      </c>
      <c r="E37" s="362">
        <v>22.158</v>
      </c>
      <c r="F37" s="362">
        <v>21.902</v>
      </c>
      <c r="G37" s="362">
        <v>22.485</v>
      </c>
      <c r="H37" s="362">
        <v>22.991</v>
      </c>
      <c r="I37" s="362">
        <v>22.949</v>
      </c>
      <c r="J37" s="362">
        <v>21.75</v>
      </c>
      <c r="K37" s="167">
        <v>10.6</v>
      </c>
    </row>
    <row r="38" spans="1:11" s="9" customFormat="1" ht="16.5" customHeight="1">
      <c r="A38" s="52"/>
      <c r="B38" s="361" t="s">
        <v>695</v>
      </c>
      <c r="C38" s="364" t="s">
        <v>706</v>
      </c>
      <c r="D38" s="352">
        <v>-1.0852170434086756</v>
      </c>
      <c r="E38" s="352">
        <v>12.027908387683913</v>
      </c>
      <c r="F38" s="352">
        <v>10.1</v>
      </c>
      <c r="G38" s="352">
        <v>20</v>
      </c>
      <c r="H38" s="352">
        <v>14.2</v>
      </c>
      <c r="I38" s="167">
        <v>8.198962753418202</v>
      </c>
      <c r="J38" s="167">
        <v>-0.68</v>
      </c>
      <c r="K38" s="364"/>
    </row>
    <row r="39" spans="1:11" s="9" customFormat="1" ht="9.75" customHeight="1">
      <c r="A39" s="177"/>
      <c r="B39" s="178"/>
      <c r="C39" s="366"/>
      <c r="D39" s="366"/>
      <c r="E39" s="366"/>
      <c r="F39" s="366"/>
      <c r="G39" s="366"/>
      <c r="H39" s="366"/>
      <c r="I39" s="366"/>
      <c r="J39" s="366"/>
      <c r="K39" s="366"/>
    </row>
    <row r="40" spans="1:11" s="9" customFormat="1" ht="4.5" customHeight="1">
      <c r="A40" s="52"/>
      <c r="B40" s="52"/>
      <c r="C40" s="153"/>
      <c r="D40" s="153"/>
      <c r="E40" s="153"/>
      <c r="F40" s="153"/>
      <c r="G40" s="153"/>
      <c r="H40" s="153"/>
      <c r="I40" s="153"/>
      <c r="J40" s="153"/>
      <c r="K40" s="153"/>
    </row>
    <row r="41" ht="16.5">
      <c r="A41" s="367"/>
    </row>
    <row r="45" spans="1:10" s="3" customFormat="1" ht="15" customHeight="1">
      <c r="A45" s="2" t="s">
        <v>795</v>
      </c>
      <c r="B45" s="7"/>
      <c r="C45" s="8"/>
      <c r="D45" s="9"/>
      <c r="E45" s="9"/>
      <c r="F45" s="8"/>
      <c r="G45" s="9"/>
      <c r="H45" s="9"/>
      <c r="I45" s="9"/>
      <c r="J45" s="8"/>
    </row>
    <row r="46" spans="1:10" s="3" customFormat="1" ht="16.5" customHeight="1">
      <c r="A46" s="52"/>
      <c r="B46" s="52"/>
      <c r="C46" s="187"/>
      <c r="D46" s="9"/>
      <c r="E46" s="9"/>
      <c r="F46" s="8"/>
      <c r="G46" s="9"/>
      <c r="H46" s="9"/>
      <c r="I46" s="9"/>
      <c r="J46" s="8"/>
    </row>
    <row r="47" spans="1:11" s="3" customFormat="1" ht="19.5" customHeight="1">
      <c r="A47" s="132"/>
      <c r="B47" s="132"/>
      <c r="C47" s="2"/>
      <c r="D47" s="568"/>
      <c r="E47" s="568"/>
      <c r="F47" s="570"/>
      <c r="G47" s="12">
        <v>2000</v>
      </c>
      <c r="H47" s="12">
        <v>2000</v>
      </c>
      <c r="I47" s="12">
        <v>2000</v>
      </c>
      <c r="J47" s="12">
        <v>2001</v>
      </c>
      <c r="K47" s="12">
        <v>2001</v>
      </c>
    </row>
    <row r="48" spans="1:11" s="3" customFormat="1" ht="19.5" customHeight="1">
      <c r="A48" s="141"/>
      <c r="B48" s="141"/>
      <c r="C48" s="160"/>
      <c r="D48" s="569"/>
      <c r="E48" s="569"/>
      <c r="F48" s="569"/>
      <c r="G48" s="274" t="s">
        <v>796</v>
      </c>
      <c r="H48" s="19" t="s">
        <v>797</v>
      </c>
      <c r="I48" s="19" t="s">
        <v>798</v>
      </c>
      <c r="J48" s="19" t="s">
        <v>799</v>
      </c>
      <c r="K48" s="20" t="s">
        <v>796</v>
      </c>
    </row>
    <row r="49" spans="1:11" s="3" customFormat="1" ht="3.75" customHeight="1">
      <c r="A49" s="143"/>
      <c r="B49" s="143"/>
      <c r="C49" s="2"/>
      <c r="D49" s="50"/>
      <c r="E49" s="50"/>
      <c r="F49" s="50"/>
      <c r="G49" s="273"/>
      <c r="H49" s="139"/>
      <c r="I49" s="139"/>
      <c r="J49" s="139"/>
      <c r="K49" s="139"/>
    </row>
    <row r="50" spans="1:11" s="267" customFormat="1" ht="15" customHeight="1">
      <c r="A50" s="216" t="s">
        <v>800</v>
      </c>
      <c r="B50" s="52"/>
      <c r="C50" s="166"/>
      <c r="D50" s="368"/>
      <c r="E50" s="368"/>
      <c r="F50" s="368"/>
      <c r="G50" s="369"/>
      <c r="H50" s="368"/>
      <c r="I50" s="368"/>
      <c r="J50" s="368"/>
      <c r="K50" s="368"/>
    </row>
    <row r="51" spans="1:11" s="267" customFormat="1" ht="3.75" customHeight="1">
      <c r="A51" s="209"/>
      <c r="B51" s="52"/>
      <c r="C51" s="166"/>
      <c r="D51" s="368"/>
      <c r="E51" s="368"/>
      <c r="F51" s="368"/>
      <c r="G51" s="369"/>
      <c r="H51" s="368"/>
      <c r="I51" s="368"/>
      <c r="J51" s="368"/>
      <c r="K51" s="368"/>
    </row>
    <row r="52" spans="1:11" s="9" customFormat="1" ht="16.5" customHeight="1">
      <c r="A52" s="52" t="s">
        <v>801</v>
      </c>
      <c r="B52" s="52"/>
      <c r="C52" s="8"/>
      <c r="D52" s="157"/>
      <c r="E52" s="370"/>
      <c r="F52" s="371"/>
      <c r="G52" s="372" t="s">
        <v>794</v>
      </c>
      <c r="H52" s="370">
        <v>6690</v>
      </c>
      <c r="I52" s="372" t="s">
        <v>794</v>
      </c>
      <c r="J52" s="370">
        <v>5713</v>
      </c>
      <c r="K52" s="372" t="s">
        <v>802</v>
      </c>
    </row>
    <row r="53" spans="1:11" s="9" customFormat="1" ht="16.5" customHeight="1">
      <c r="A53" s="8" t="s">
        <v>803</v>
      </c>
      <c r="B53" s="8"/>
      <c r="C53" s="8"/>
      <c r="D53" s="157"/>
      <c r="E53" s="370"/>
      <c r="F53" s="371"/>
      <c r="G53" s="372" t="s">
        <v>794</v>
      </c>
      <c r="H53" s="370">
        <v>1</v>
      </c>
      <c r="I53" s="372" t="s">
        <v>794</v>
      </c>
      <c r="J53" s="370">
        <v>13</v>
      </c>
      <c r="K53" s="372" t="s">
        <v>802</v>
      </c>
    </row>
    <row r="54" spans="1:11" s="9" customFormat="1" ht="16.5" customHeight="1">
      <c r="A54" s="52" t="s">
        <v>804</v>
      </c>
      <c r="B54" s="52"/>
      <c r="C54" s="8"/>
      <c r="D54" s="157"/>
      <c r="E54" s="370"/>
      <c r="F54" s="371"/>
      <c r="G54" s="370">
        <v>231</v>
      </c>
      <c r="H54" s="373" t="s">
        <v>805</v>
      </c>
      <c r="I54" s="370">
        <v>106</v>
      </c>
      <c r="J54" s="372" t="s">
        <v>794</v>
      </c>
      <c r="K54" s="372" t="s">
        <v>806</v>
      </c>
    </row>
    <row r="55" spans="1:11" s="9" customFormat="1" ht="16.5" customHeight="1">
      <c r="A55" s="52" t="s">
        <v>807</v>
      </c>
      <c r="B55" s="52"/>
      <c r="C55" s="8"/>
      <c r="D55" s="157"/>
      <c r="E55" s="370"/>
      <c r="F55" s="371"/>
      <c r="G55" s="372" t="s">
        <v>794</v>
      </c>
      <c r="H55" s="370">
        <v>651</v>
      </c>
      <c r="I55" s="372" t="s">
        <v>794</v>
      </c>
      <c r="J55" s="370">
        <v>544</v>
      </c>
      <c r="K55" s="372" t="s">
        <v>802</v>
      </c>
    </row>
    <row r="56" spans="1:11" s="9" customFormat="1" ht="16.5" customHeight="1">
      <c r="A56" s="52" t="s">
        <v>808</v>
      </c>
      <c r="B56" s="52"/>
      <c r="C56" s="8"/>
      <c r="D56" s="157"/>
      <c r="E56" s="370"/>
      <c r="F56" s="371"/>
      <c r="G56" s="370">
        <v>183</v>
      </c>
      <c r="H56" s="372" t="s">
        <v>794</v>
      </c>
      <c r="I56" s="370">
        <v>276</v>
      </c>
      <c r="J56" s="372" t="s">
        <v>794</v>
      </c>
      <c r="K56" s="372" t="s">
        <v>806</v>
      </c>
    </row>
    <row r="57" spans="1:11" s="9" customFormat="1" ht="16.5" customHeight="1">
      <c r="A57" s="8" t="s">
        <v>809</v>
      </c>
      <c r="B57" s="8"/>
      <c r="C57" s="8"/>
      <c r="D57" s="157"/>
      <c r="E57" s="370"/>
      <c r="F57" s="371"/>
      <c r="G57" s="372" t="s">
        <v>794</v>
      </c>
      <c r="H57" s="370">
        <v>26</v>
      </c>
      <c r="I57" s="372" t="s">
        <v>794</v>
      </c>
      <c r="J57" s="370">
        <v>37</v>
      </c>
      <c r="K57" s="372" t="s">
        <v>802</v>
      </c>
    </row>
    <row r="58" spans="1:11" s="2" customFormat="1" ht="7.5" customHeight="1">
      <c r="A58" s="131"/>
      <c r="B58" s="131"/>
      <c r="C58" s="160"/>
      <c r="D58" s="160"/>
      <c r="E58" s="160"/>
      <c r="F58" s="160"/>
      <c r="G58" s="215"/>
      <c r="H58" s="160"/>
      <c r="I58" s="160"/>
      <c r="J58" s="160"/>
      <c r="K58" s="160"/>
    </row>
    <row r="59" spans="1:2" s="2" customFormat="1" ht="4.5" customHeight="1">
      <c r="A59" s="7"/>
      <c r="B59" s="7"/>
    </row>
    <row r="60" ht="16.5">
      <c r="A60" s="359"/>
    </row>
    <row r="61" ht="16.5">
      <c r="A61" s="374"/>
    </row>
  </sheetData>
  <mergeCells count="7">
    <mergeCell ref="K6:K7"/>
    <mergeCell ref="D47:D48"/>
    <mergeCell ref="E47:E48"/>
    <mergeCell ref="F47:F48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K5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25390625" style="0" customWidth="1"/>
    <col min="2" max="2" width="12.125" style="0" customWidth="1"/>
    <col min="3" max="10" width="6.75390625" style="0" customWidth="1"/>
  </cols>
  <sheetData>
    <row r="1" ht="16.5">
      <c r="A1" s="55" t="s">
        <v>768</v>
      </c>
    </row>
    <row r="4" spans="1:2" ht="16.5">
      <c r="A4" s="57" t="s">
        <v>810</v>
      </c>
      <c r="B4" s="375"/>
    </row>
    <row r="5" ht="16.5" customHeight="1">
      <c r="B5" s="375"/>
    </row>
    <row r="6" spans="1:10" s="57" customFormat="1" ht="19.5" customHeight="1">
      <c r="A6" s="60"/>
      <c r="B6" s="376"/>
      <c r="C6" s="566">
        <v>1998</v>
      </c>
      <c r="D6" s="568">
        <v>1999</v>
      </c>
      <c r="E6" s="570">
        <v>2000</v>
      </c>
      <c r="F6" s="38">
        <v>2000</v>
      </c>
      <c r="G6" s="38">
        <v>2000</v>
      </c>
      <c r="H6" s="38">
        <v>2000</v>
      </c>
      <c r="I6" s="38">
        <v>2001</v>
      </c>
      <c r="J6" s="38">
        <v>2001</v>
      </c>
    </row>
    <row r="7" spans="1:10" s="57" customFormat="1" ht="19.5" customHeight="1">
      <c r="A7" s="377"/>
      <c r="B7" s="378"/>
      <c r="C7" s="567"/>
      <c r="D7" s="569"/>
      <c r="E7" s="571"/>
      <c r="F7" s="39" t="s">
        <v>811</v>
      </c>
      <c r="G7" s="39" t="s">
        <v>812</v>
      </c>
      <c r="H7" s="39" t="s">
        <v>813</v>
      </c>
      <c r="I7" s="39" t="s">
        <v>814</v>
      </c>
      <c r="J7" s="40" t="s">
        <v>811</v>
      </c>
    </row>
    <row r="8" spans="1:10" s="57" customFormat="1" ht="9.75" customHeight="1">
      <c r="A8" s="63"/>
      <c r="B8" s="379"/>
      <c r="C8" s="50"/>
      <c r="D8" s="50"/>
      <c r="E8" s="50"/>
      <c r="F8" s="66"/>
      <c r="G8" s="66"/>
      <c r="H8" s="66"/>
      <c r="I8" s="66"/>
      <c r="J8" s="66"/>
    </row>
    <row r="9" spans="1:10" s="383" customFormat="1" ht="16.5" customHeight="1">
      <c r="A9" s="380" t="s">
        <v>815</v>
      </c>
      <c r="B9" s="381" t="s">
        <v>816</v>
      </c>
      <c r="C9" s="382">
        <v>9.644</v>
      </c>
      <c r="D9" s="382">
        <v>13.759</v>
      </c>
      <c r="E9" s="382">
        <v>14.513</v>
      </c>
      <c r="F9" s="382">
        <v>15.182</v>
      </c>
      <c r="G9" s="382">
        <v>14.191</v>
      </c>
      <c r="H9" s="382">
        <v>14.341</v>
      </c>
      <c r="I9" s="382">
        <v>13.566</v>
      </c>
      <c r="J9" s="382">
        <v>14</v>
      </c>
    </row>
    <row r="10" spans="1:10" s="383" customFormat="1" ht="16.5" customHeight="1">
      <c r="A10" s="380"/>
      <c r="B10" s="381" t="s">
        <v>817</v>
      </c>
      <c r="C10" s="94">
        <v>47.7</v>
      </c>
      <c r="D10" s="94">
        <v>42.66901700539196</v>
      </c>
      <c r="E10" s="94">
        <v>5.480049422196378</v>
      </c>
      <c r="F10" s="94">
        <v>13.2</v>
      </c>
      <c r="G10" s="94">
        <v>-5.5</v>
      </c>
      <c r="H10" s="94">
        <v>-1.6</v>
      </c>
      <c r="I10" s="94">
        <v>-5.680317040951112</v>
      </c>
      <c r="J10" s="94">
        <v>-7.6</v>
      </c>
    </row>
    <row r="11" spans="1:10" s="383" customFormat="1" ht="16.5" customHeight="1">
      <c r="A11" s="380"/>
      <c r="B11" s="384"/>
      <c r="C11" s="382"/>
      <c r="D11" s="382"/>
      <c r="E11" s="382"/>
      <c r="F11" s="382"/>
      <c r="G11" s="382"/>
      <c r="H11" s="382"/>
      <c r="I11" s="382"/>
      <c r="J11" s="382"/>
    </row>
    <row r="12" spans="1:10" s="383" customFormat="1" ht="16.5" customHeight="1">
      <c r="A12" s="385" t="s">
        <v>818</v>
      </c>
      <c r="B12" s="381" t="s">
        <v>816</v>
      </c>
      <c r="C12" s="382">
        <v>0.834</v>
      </c>
      <c r="D12" s="382">
        <v>1.405</v>
      </c>
      <c r="E12" s="382" t="s">
        <v>819</v>
      </c>
      <c r="F12" s="382" t="s">
        <v>820</v>
      </c>
      <c r="G12" s="382">
        <v>1.573</v>
      </c>
      <c r="H12" s="382">
        <v>0.941</v>
      </c>
      <c r="I12" s="382">
        <v>0.528</v>
      </c>
      <c r="J12" s="382">
        <v>1.1</v>
      </c>
    </row>
    <row r="13" spans="1:10" s="383" customFormat="1" ht="16.5" customHeight="1">
      <c r="A13" s="385"/>
      <c r="B13" s="381" t="s">
        <v>817</v>
      </c>
      <c r="C13" s="94">
        <v>42.8</v>
      </c>
      <c r="D13" s="94">
        <v>68.46522781774581</v>
      </c>
      <c r="E13" s="386" t="s">
        <v>821</v>
      </c>
      <c r="F13" s="386" t="s">
        <v>822</v>
      </c>
      <c r="G13" s="94">
        <v>-32.8</v>
      </c>
      <c r="H13" s="94">
        <v>-24.7</v>
      </c>
      <c r="I13" s="94">
        <v>-52.04359673024522</v>
      </c>
      <c r="J13" s="94">
        <v>41.1</v>
      </c>
    </row>
    <row r="14" spans="2:10" s="383" customFormat="1" ht="16.5" customHeight="1">
      <c r="B14" s="384"/>
      <c r="C14" s="382"/>
      <c r="D14" s="382"/>
      <c r="E14" s="382"/>
      <c r="F14" s="382"/>
      <c r="G14" s="382"/>
      <c r="H14" s="382"/>
      <c r="I14" s="382"/>
      <c r="J14" s="382"/>
    </row>
    <row r="15" spans="1:10" s="44" customFormat="1" ht="16.5" customHeight="1">
      <c r="A15" s="105" t="s">
        <v>823</v>
      </c>
      <c r="B15" s="387"/>
      <c r="C15" s="84"/>
      <c r="D15" s="84"/>
      <c r="E15" s="84"/>
      <c r="F15" s="84"/>
      <c r="G15" s="84"/>
      <c r="H15" s="84"/>
      <c r="I15" s="84"/>
      <c r="J15" s="84"/>
    </row>
    <row r="16" spans="1:10" s="44" customFormat="1" ht="16.5" customHeight="1">
      <c r="A16" s="128" t="s">
        <v>824</v>
      </c>
      <c r="B16" s="387"/>
      <c r="C16" s="84">
        <v>2.5</v>
      </c>
      <c r="D16" s="84">
        <v>1.1</v>
      </c>
      <c r="E16" s="84" t="s">
        <v>825</v>
      </c>
      <c r="F16" s="388" t="s">
        <v>826</v>
      </c>
      <c r="G16" s="84">
        <v>3.2</v>
      </c>
      <c r="H16" s="388" t="s">
        <v>826</v>
      </c>
      <c r="I16" s="84">
        <v>9.3</v>
      </c>
      <c r="J16" s="84">
        <v>7.9</v>
      </c>
    </row>
    <row r="17" spans="1:10" s="44" customFormat="1" ht="16.5" customHeight="1">
      <c r="A17" s="128" t="s">
        <v>827</v>
      </c>
      <c r="B17" s="387"/>
      <c r="C17" s="84">
        <v>20.6</v>
      </c>
      <c r="D17" s="84">
        <v>26.3</v>
      </c>
      <c r="E17" s="84" t="s">
        <v>828</v>
      </c>
      <c r="F17" s="84" t="s">
        <v>829</v>
      </c>
      <c r="G17" s="84">
        <v>27.3</v>
      </c>
      <c r="H17" s="84">
        <v>26</v>
      </c>
      <c r="I17" s="84">
        <v>36.6</v>
      </c>
      <c r="J17" s="84">
        <v>28</v>
      </c>
    </row>
    <row r="18" spans="1:10" s="44" customFormat="1" ht="16.5" customHeight="1">
      <c r="A18" s="105" t="s">
        <v>830</v>
      </c>
      <c r="B18" s="387"/>
      <c r="C18" s="84">
        <v>19.3</v>
      </c>
      <c r="D18" s="84">
        <v>21.1</v>
      </c>
      <c r="E18" s="84" t="s">
        <v>831</v>
      </c>
      <c r="F18" s="84" t="s">
        <v>832</v>
      </c>
      <c r="G18" s="84">
        <v>7.1</v>
      </c>
      <c r="H18" s="84">
        <v>46.7</v>
      </c>
      <c r="I18" s="388" t="s">
        <v>826</v>
      </c>
      <c r="J18" s="88">
        <v>7.9</v>
      </c>
    </row>
    <row r="19" spans="1:10" s="44" customFormat="1" ht="16.5" customHeight="1">
      <c r="A19" s="105" t="s">
        <v>833</v>
      </c>
      <c r="B19" s="387"/>
      <c r="C19" s="84">
        <v>30.2</v>
      </c>
      <c r="D19" s="84">
        <v>19.7</v>
      </c>
      <c r="E19" s="84" t="s">
        <v>834</v>
      </c>
      <c r="F19" s="84" t="s">
        <v>835</v>
      </c>
      <c r="G19" s="84">
        <v>32.5</v>
      </c>
      <c r="H19" s="84">
        <v>13.6</v>
      </c>
      <c r="I19" s="84">
        <v>32</v>
      </c>
      <c r="J19" s="84">
        <v>32.2</v>
      </c>
    </row>
    <row r="20" spans="1:10" s="44" customFormat="1" ht="16.5" customHeight="1">
      <c r="A20" s="128" t="s">
        <v>836</v>
      </c>
      <c r="B20" s="387"/>
      <c r="C20" s="84">
        <v>27.3</v>
      </c>
      <c r="D20" s="84">
        <v>31.8</v>
      </c>
      <c r="E20" s="84" t="s">
        <v>837</v>
      </c>
      <c r="F20" s="84" t="s">
        <v>838</v>
      </c>
      <c r="G20" s="84">
        <v>29.9</v>
      </c>
      <c r="H20" s="84">
        <v>13.7</v>
      </c>
      <c r="I20" s="84">
        <v>22.2</v>
      </c>
      <c r="J20" s="84">
        <v>24</v>
      </c>
    </row>
    <row r="21" spans="1:10" s="44" customFormat="1" ht="16.5" customHeight="1">
      <c r="A21" s="128"/>
      <c r="B21" s="387"/>
      <c r="C21" s="84"/>
      <c r="D21" s="84"/>
      <c r="E21" s="84"/>
      <c r="F21" s="84"/>
      <c r="G21" s="84"/>
      <c r="H21" s="84"/>
      <c r="I21" s="84"/>
      <c r="J21" s="84"/>
    </row>
    <row r="22" spans="1:10" s="44" customFormat="1" ht="16.5" customHeight="1">
      <c r="A22" s="128" t="s">
        <v>839</v>
      </c>
      <c r="B22" s="381" t="s">
        <v>816</v>
      </c>
      <c r="C22" s="382">
        <v>8.81</v>
      </c>
      <c r="D22" s="382">
        <v>12.354</v>
      </c>
      <c r="E22" s="382" t="s">
        <v>840</v>
      </c>
      <c r="F22" s="382" t="s">
        <v>841</v>
      </c>
      <c r="G22" s="382">
        <v>12.618</v>
      </c>
      <c r="H22" s="382">
        <v>13.4</v>
      </c>
      <c r="I22" s="382">
        <v>13.038</v>
      </c>
      <c r="J22" s="382">
        <v>12.9</v>
      </c>
    </row>
    <row r="23" spans="1:10" s="44" customFormat="1" ht="16.5" customHeight="1">
      <c r="A23" s="128"/>
      <c r="B23" s="381" t="s">
        <v>817</v>
      </c>
      <c r="C23" s="84">
        <v>48.2</v>
      </c>
      <c r="D23" s="84">
        <v>40.227014755959125</v>
      </c>
      <c r="E23" s="84" t="s">
        <v>842</v>
      </c>
      <c r="F23" s="84" t="s">
        <v>843</v>
      </c>
      <c r="G23" s="84">
        <v>-0.4</v>
      </c>
      <c r="H23" s="84">
        <v>0.6</v>
      </c>
      <c r="I23" s="84">
        <v>-1.8370727300105387</v>
      </c>
      <c r="J23" s="84">
        <v>-10.2</v>
      </c>
    </row>
    <row r="24" spans="1:10" s="44" customFormat="1" ht="16.5" customHeight="1">
      <c r="A24" s="128"/>
      <c r="B24" s="384"/>
      <c r="C24" s="84"/>
      <c r="D24" s="84"/>
      <c r="E24" s="84"/>
      <c r="F24" s="84"/>
      <c r="G24" s="84"/>
      <c r="H24" s="84"/>
      <c r="I24" s="84"/>
      <c r="J24" s="84"/>
    </row>
    <row r="25" spans="1:10" s="44" customFormat="1" ht="16.5" customHeight="1">
      <c r="A25" s="105" t="s">
        <v>844</v>
      </c>
      <c r="B25" s="387"/>
      <c r="C25" s="84"/>
      <c r="D25" s="84"/>
      <c r="E25" s="84"/>
      <c r="F25" s="84"/>
      <c r="G25" s="84"/>
      <c r="H25" s="84"/>
      <c r="I25" s="84"/>
      <c r="J25" s="84"/>
    </row>
    <row r="26" spans="1:10" s="44" customFormat="1" ht="16.5" customHeight="1">
      <c r="A26" s="128" t="s">
        <v>845</v>
      </c>
      <c r="B26" s="387"/>
      <c r="C26" s="84">
        <v>18.3</v>
      </c>
      <c r="D26" s="84">
        <v>18.1</v>
      </c>
      <c r="E26" s="84">
        <v>14.7</v>
      </c>
      <c r="F26" s="84" t="s">
        <v>846</v>
      </c>
      <c r="G26" s="84">
        <v>14.7</v>
      </c>
      <c r="H26" s="84">
        <v>17.6</v>
      </c>
      <c r="I26" s="84">
        <v>18.8</v>
      </c>
      <c r="J26" s="84">
        <v>16</v>
      </c>
    </row>
    <row r="27" spans="1:10" s="44" customFormat="1" ht="16.5" customHeight="1">
      <c r="A27" s="128" t="s">
        <v>847</v>
      </c>
      <c r="B27" s="387"/>
      <c r="C27" s="84">
        <v>23.2</v>
      </c>
      <c r="D27" s="84">
        <v>30</v>
      </c>
      <c r="E27" s="84" t="s">
        <v>848</v>
      </c>
      <c r="F27" s="84" t="s">
        <v>849</v>
      </c>
      <c r="G27" s="84">
        <v>35.8</v>
      </c>
      <c r="H27" s="84">
        <v>23.1</v>
      </c>
      <c r="I27" s="84">
        <v>27.9</v>
      </c>
      <c r="J27" s="84">
        <v>28.6</v>
      </c>
    </row>
    <row r="28" spans="1:10" s="44" customFormat="1" ht="16.5" customHeight="1">
      <c r="A28" s="128" t="s">
        <v>850</v>
      </c>
      <c r="B28" s="387"/>
      <c r="C28" s="84">
        <v>16</v>
      </c>
      <c r="D28" s="84">
        <v>13.4</v>
      </c>
      <c r="E28" s="84" t="s">
        <v>851</v>
      </c>
      <c r="F28" s="84" t="s">
        <v>852</v>
      </c>
      <c r="G28" s="84">
        <v>15</v>
      </c>
      <c r="H28" s="84">
        <v>14.9</v>
      </c>
      <c r="I28" s="84">
        <v>15.9</v>
      </c>
      <c r="J28" s="84">
        <v>15.1</v>
      </c>
    </row>
    <row r="29" spans="1:10" s="44" customFormat="1" ht="16.5" customHeight="1">
      <c r="A29" s="128" t="s">
        <v>853</v>
      </c>
      <c r="B29" s="387"/>
      <c r="C29" s="84">
        <v>21.2</v>
      </c>
      <c r="D29" s="84">
        <v>16.2</v>
      </c>
      <c r="E29" s="84">
        <v>15.5</v>
      </c>
      <c r="F29" s="84" t="s">
        <v>854</v>
      </c>
      <c r="G29" s="84">
        <v>14.1</v>
      </c>
      <c r="H29" s="84">
        <v>18.3</v>
      </c>
      <c r="I29" s="84">
        <v>14.3</v>
      </c>
      <c r="J29" s="84">
        <v>16.5</v>
      </c>
    </row>
    <row r="30" spans="1:10" s="44" customFormat="1" ht="16.5" customHeight="1">
      <c r="A30" s="128" t="s">
        <v>855</v>
      </c>
      <c r="B30" s="387"/>
      <c r="C30" s="84">
        <v>6</v>
      </c>
      <c r="D30" s="84">
        <v>5.9</v>
      </c>
      <c r="E30" s="84" t="s">
        <v>856</v>
      </c>
      <c r="F30" s="84" t="s">
        <v>857</v>
      </c>
      <c r="G30" s="84">
        <v>6.3</v>
      </c>
      <c r="H30" s="84">
        <v>10.1</v>
      </c>
      <c r="I30" s="84">
        <v>6</v>
      </c>
      <c r="J30" s="84">
        <v>8.2</v>
      </c>
    </row>
    <row r="31" spans="1:10" s="44" customFormat="1" ht="16.5" customHeight="1">
      <c r="A31" s="128"/>
      <c r="B31" s="387"/>
      <c r="C31" s="84"/>
      <c r="D31" s="84"/>
      <c r="E31" s="84"/>
      <c r="F31" s="84"/>
      <c r="G31" s="84"/>
      <c r="H31" s="84"/>
      <c r="I31" s="84"/>
      <c r="J31" s="84"/>
    </row>
    <row r="32" spans="1:10" s="44" customFormat="1" ht="16.5" customHeight="1">
      <c r="A32" s="105" t="s">
        <v>858</v>
      </c>
      <c r="B32" s="387"/>
      <c r="C32" s="84"/>
      <c r="D32" s="84"/>
      <c r="E32" s="84"/>
      <c r="F32" s="84"/>
      <c r="G32" s="84"/>
      <c r="H32" s="84"/>
      <c r="I32" s="84"/>
      <c r="J32" s="84"/>
    </row>
    <row r="33" spans="1:10" s="44" customFormat="1" ht="16.5" customHeight="1">
      <c r="A33" s="105" t="s">
        <v>859</v>
      </c>
      <c r="B33" s="387"/>
      <c r="C33" s="84">
        <v>14.5</v>
      </c>
      <c r="D33" s="84">
        <v>15.9</v>
      </c>
      <c r="E33" s="84" t="s">
        <v>835</v>
      </c>
      <c r="F33" s="84" t="s">
        <v>860</v>
      </c>
      <c r="G33" s="84">
        <v>14.4</v>
      </c>
      <c r="H33" s="84">
        <v>15</v>
      </c>
      <c r="I33" s="84">
        <v>13.1</v>
      </c>
      <c r="J33" s="84">
        <v>9.9</v>
      </c>
    </row>
    <row r="34" spans="1:10" s="44" customFormat="1" ht="16.5" customHeight="1">
      <c r="A34" s="105" t="s">
        <v>861</v>
      </c>
      <c r="B34" s="387"/>
      <c r="C34" s="84">
        <v>13</v>
      </c>
      <c r="D34" s="84">
        <v>9.3</v>
      </c>
      <c r="E34" s="84" t="s">
        <v>860</v>
      </c>
      <c r="F34" s="84" t="s">
        <v>862</v>
      </c>
      <c r="G34" s="84">
        <v>7.5</v>
      </c>
      <c r="H34" s="84">
        <v>13</v>
      </c>
      <c r="I34" s="84">
        <v>9</v>
      </c>
      <c r="J34" s="84">
        <v>11.1</v>
      </c>
    </row>
    <row r="35" spans="1:10" s="44" customFormat="1" ht="16.5" customHeight="1">
      <c r="A35" s="105" t="s">
        <v>863</v>
      </c>
      <c r="B35" s="387"/>
      <c r="C35" s="84">
        <v>20.3</v>
      </c>
      <c r="D35" s="84">
        <v>26.1</v>
      </c>
      <c r="E35" s="84" t="s">
        <v>864</v>
      </c>
      <c r="F35" s="84" t="s">
        <v>865</v>
      </c>
      <c r="G35" s="84">
        <v>33.2</v>
      </c>
      <c r="H35" s="84">
        <v>18.1</v>
      </c>
      <c r="I35" s="84">
        <v>31.5</v>
      </c>
      <c r="J35" s="84">
        <v>23.5</v>
      </c>
    </row>
    <row r="36" spans="1:10" s="44" customFormat="1" ht="16.5" customHeight="1">
      <c r="A36" s="105" t="s">
        <v>866</v>
      </c>
      <c r="B36" s="387"/>
      <c r="C36" s="84">
        <v>20.6</v>
      </c>
      <c r="D36" s="84">
        <v>17.6</v>
      </c>
      <c r="E36" s="84">
        <v>15.2</v>
      </c>
      <c r="F36" s="84" t="s">
        <v>867</v>
      </c>
      <c r="G36" s="84">
        <v>13.4</v>
      </c>
      <c r="H36" s="84">
        <v>17.9</v>
      </c>
      <c r="I36" s="84">
        <v>19.7</v>
      </c>
      <c r="J36" s="84">
        <v>26.8</v>
      </c>
    </row>
    <row r="37" spans="1:10" s="44" customFormat="1" ht="16.5" customHeight="1">
      <c r="A37" s="105" t="s">
        <v>868</v>
      </c>
      <c r="B37" s="387"/>
      <c r="C37" s="84">
        <v>27.2</v>
      </c>
      <c r="D37" s="84">
        <v>28.1</v>
      </c>
      <c r="E37" s="84">
        <v>28.7</v>
      </c>
      <c r="F37" s="84" t="s">
        <v>869</v>
      </c>
      <c r="G37" s="84">
        <v>29.7</v>
      </c>
      <c r="H37" s="84">
        <v>33.8</v>
      </c>
      <c r="I37" s="84">
        <v>25.9</v>
      </c>
      <c r="J37" s="84">
        <v>26.7</v>
      </c>
    </row>
    <row r="38" spans="1:10" s="44" customFormat="1" ht="9.75" customHeight="1">
      <c r="A38" s="389"/>
      <c r="B38" s="390"/>
      <c r="C38" s="247"/>
      <c r="D38" s="247"/>
      <c r="E38" s="247"/>
      <c r="F38" s="247"/>
      <c r="G38" s="247"/>
      <c r="H38" s="247"/>
      <c r="I38" s="247"/>
      <c r="J38" s="247"/>
    </row>
    <row r="39" spans="1:11" s="44" customFormat="1" ht="4.5" customHeight="1">
      <c r="A39" s="128"/>
      <c r="B39" s="391"/>
      <c r="C39" s="245"/>
      <c r="D39" s="245"/>
      <c r="E39" s="245"/>
      <c r="F39" s="245"/>
      <c r="G39" s="245"/>
      <c r="H39" s="245"/>
      <c r="I39" s="245"/>
      <c r="J39" s="245"/>
      <c r="K39" s="392"/>
    </row>
    <row r="40" ht="16.5">
      <c r="A40" s="359"/>
    </row>
    <row r="41" ht="16.5">
      <c r="A41" s="359"/>
    </row>
    <row r="42" spans="3:4" ht="16.5">
      <c r="C42" s="392"/>
      <c r="D42" s="392"/>
    </row>
    <row r="43" spans="3:4" ht="16.5">
      <c r="C43" s="392"/>
      <c r="D43" s="392"/>
    </row>
    <row r="44" spans="3:4" ht="16.5">
      <c r="C44" s="392"/>
      <c r="D44" s="392"/>
    </row>
    <row r="45" spans="3:4" ht="16.5">
      <c r="C45" s="392"/>
      <c r="D45" s="392"/>
    </row>
    <row r="46" spans="3:4" ht="16.5">
      <c r="C46" s="392"/>
      <c r="D46" s="392"/>
    </row>
    <row r="47" spans="3:7" ht="16.5">
      <c r="C47" s="392"/>
      <c r="D47" s="392"/>
      <c r="F47" s="392"/>
      <c r="G47" s="392"/>
    </row>
    <row r="48" spans="3:7" ht="16.5">
      <c r="C48" s="392"/>
      <c r="D48" s="392"/>
      <c r="F48" s="392"/>
      <c r="G48" s="392"/>
    </row>
    <row r="52" ht="16.5">
      <c r="A52" s="393"/>
    </row>
  </sheetData>
  <mergeCells count="3"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L5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0.625" style="24" customWidth="1"/>
    <col min="2" max="2" width="10.375" style="24" customWidth="1"/>
    <col min="3" max="11" width="7.125" style="24" customWidth="1"/>
    <col min="12" max="16384" width="9.00390625" style="24" customWidth="1"/>
  </cols>
  <sheetData>
    <row r="1" spans="1:2" ht="16.5">
      <c r="A1" s="1" t="s">
        <v>768</v>
      </c>
      <c r="B1" s="394"/>
    </row>
    <row r="2" ht="16.5">
      <c r="B2" s="394"/>
    </row>
    <row r="3" ht="16.5">
      <c r="B3" s="394"/>
    </row>
    <row r="4" spans="1:2" ht="16.5">
      <c r="A4" s="3" t="s">
        <v>870</v>
      </c>
      <c r="B4" s="394"/>
    </row>
    <row r="5" spans="2:11" ht="15" customHeight="1">
      <c r="B5" s="394"/>
      <c r="C5" s="34"/>
      <c r="K5" s="34"/>
    </row>
    <row r="6" spans="1:12" s="3" customFormat="1" ht="19.5" customHeight="1">
      <c r="A6" s="132"/>
      <c r="B6" s="395"/>
      <c r="C6" s="396"/>
      <c r="D6" s="566">
        <v>1998</v>
      </c>
      <c r="E6" s="568">
        <v>1999</v>
      </c>
      <c r="F6" s="570">
        <v>2000</v>
      </c>
      <c r="G6" s="38">
        <v>2000</v>
      </c>
      <c r="H6" s="38">
        <v>2000</v>
      </c>
      <c r="I6" s="38">
        <v>2000</v>
      </c>
      <c r="J6" s="38">
        <v>2001</v>
      </c>
      <c r="K6" s="38">
        <v>2001</v>
      </c>
      <c r="L6" s="2"/>
    </row>
    <row r="7" spans="1:12" s="3" customFormat="1" ht="19.5" customHeight="1">
      <c r="A7" s="141"/>
      <c r="B7" s="397"/>
      <c r="C7" s="199"/>
      <c r="D7" s="567"/>
      <c r="E7" s="569"/>
      <c r="F7" s="571"/>
      <c r="G7" s="39" t="s">
        <v>871</v>
      </c>
      <c r="H7" s="39" t="s">
        <v>872</v>
      </c>
      <c r="I7" s="39" t="s">
        <v>873</v>
      </c>
      <c r="J7" s="39" t="s">
        <v>874</v>
      </c>
      <c r="K7" s="40" t="s">
        <v>301</v>
      </c>
      <c r="L7" s="2"/>
    </row>
    <row r="8" spans="1:11" s="3" customFormat="1" ht="9.75" customHeight="1">
      <c r="A8" s="143"/>
      <c r="B8" s="174"/>
      <c r="C8" s="51"/>
      <c r="D8" s="50"/>
      <c r="E8" s="50"/>
      <c r="F8" s="139"/>
      <c r="G8" s="139"/>
      <c r="H8" s="139"/>
      <c r="I8" s="139"/>
      <c r="J8" s="2"/>
      <c r="K8" s="2"/>
    </row>
    <row r="9" spans="1:11" s="363" customFormat="1" ht="15" customHeight="1">
      <c r="A9" s="360" t="s">
        <v>875</v>
      </c>
      <c r="C9" s="398" t="s">
        <v>876</v>
      </c>
      <c r="D9" s="347">
        <v>3.215</v>
      </c>
      <c r="E9" s="347">
        <v>2.7</v>
      </c>
      <c r="F9" s="347">
        <v>6.25</v>
      </c>
      <c r="G9" s="347">
        <v>5.791</v>
      </c>
      <c r="H9" s="347">
        <v>6.666</v>
      </c>
      <c r="I9" s="347">
        <v>8.099</v>
      </c>
      <c r="J9" s="347">
        <v>7.958</v>
      </c>
      <c r="K9" s="347">
        <v>7.7</v>
      </c>
    </row>
    <row r="10" spans="1:11" s="363" customFormat="1" ht="15" customHeight="1">
      <c r="A10" s="360"/>
      <c r="B10" s="399"/>
      <c r="C10" s="400"/>
      <c r="D10" s="401"/>
      <c r="E10" s="401"/>
      <c r="F10" s="401"/>
      <c r="G10" s="401"/>
      <c r="H10" s="401"/>
      <c r="I10" s="401"/>
      <c r="J10" s="402"/>
      <c r="K10" s="402"/>
    </row>
    <row r="11" spans="1:11" s="363" customFormat="1" ht="15" customHeight="1">
      <c r="A11" s="365" t="s">
        <v>877</v>
      </c>
      <c r="B11" s="403"/>
      <c r="C11" s="400"/>
      <c r="D11" s="401"/>
      <c r="E11" s="401"/>
      <c r="F11" s="401"/>
      <c r="G11" s="401"/>
      <c r="H11" s="401"/>
      <c r="I11" s="401"/>
      <c r="J11" s="402"/>
      <c r="K11" s="402"/>
    </row>
    <row r="12" spans="1:11" ht="16.5">
      <c r="A12" s="52" t="s">
        <v>878</v>
      </c>
      <c r="B12" s="399"/>
      <c r="C12" s="21"/>
      <c r="D12" s="404">
        <v>27.4</v>
      </c>
      <c r="E12" s="402">
        <v>26.2</v>
      </c>
      <c r="F12" s="402">
        <v>24.3</v>
      </c>
      <c r="G12" s="402">
        <v>22.9</v>
      </c>
      <c r="H12" s="402">
        <v>19.3</v>
      </c>
      <c r="I12" s="402">
        <v>27.3</v>
      </c>
      <c r="J12" s="402">
        <v>20.6</v>
      </c>
      <c r="K12" s="402">
        <v>29.5</v>
      </c>
    </row>
    <row r="13" spans="1:11" ht="16.5">
      <c r="A13" s="52" t="s">
        <v>879</v>
      </c>
      <c r="B13" s="399"/>
      <c r="C13" s="21"/>
      <c r="D13" s="404">
        <v>47.5</v>
      </c>
      <c r="E13" s="402">
        <v>43.2</v>
      </c>
      <c r="F13" s="402">
        <v>41.6</v>
      </c>
      <c r="G13" s="402">
        <v>41</v>
      </c>
      <c r="H13" s="402">
        <v>45.6</v>
      </c>
      <c r="I13" s="402">
        <v>35.9</v>
      </c>
      <c r="J13" s="402">
        <v>43.7</v>
      </c>
      <c r="K13" s="402">
        <v>40.8</v>
      </c>
    </row>
    <row r="14" spans="1:11" ht="16.5">
      <c r="A14" s="52" t="s">
        <v>880</v>
      </c>
      <c r="B14" s="399"/>
      <c r="C14" s="21"/>
      <c r="D14" s="404">
        <v>4.3</v>
      </c>
      <c r="E14" s="402">
        <v>7.1</v>
      </c>
      <c r="F14" s="402">
        <v>6.3</v>
      </c>
      <c r="G14" s="402">
        <v>5.4</v>
      </c>
      <c r="H14" s="402">
        <v>8.6</v>
      </c>
      <c r="I14" s="402">
        <v>6.3</v>
      </c>
      <c r="J14" s="402">
        <v>8.6</v>
      </c>
      <c r="K14" s="402">
        <v>8.7</v>
      </c>
    </row>
    <row r="15" spans="1:11" ht="16.5">
      <c r="A15" s="52" t="s">
        <v>881</v>
      </c>
      <c r="B15" s="399"/>
      <c r="C15" s="21"/>
      <c r="D15" s="404">
        <v>3.1</v>
      </c>
      <c r="E15" s="402">
        <v>5.9</v>
      </c>
      <c r="F15" s="347">
        <v>5.6</v>
      </c>
      <c r="G15" s="402">
        <v>7.6</v>
      </c>
      <c r="H15" s="402">
        <v>6.5</v>
      </c>
      <c r="I15" s="402">
        <v>3.1</v>
      </c>
      <c r="J15" s="402">
        <v>8.2</v>
      </c>
      <c r="K15" s="402">
        <v>4.3</v>
      </c>
    </row>
    <row r="16" spans="1:11" ht="16.5">
      <c r="A16" s="52" t="s">
        <v>789</v>
      </c>
      <c r="B16" s="399"/>
      <c r="C16" s="21"/>
      <c r="D16" s="347">
        <v>5.3</v>
      </c>
      <c r="E16" s="402">
        <v>1.9</v>
      </c>
      <c r="F16" s="402">
        <v>1</v>
      </c>
      <c r="G16" s="402">
        <v>4.6</v>
      </c>
      <c r="H16" s="402">
        <v>2.4</v>
      </c>
      <c r="I16" s="402">
        <v>3.4</v>
      </c>
      <c r="J16" s="402">
        <v>2.7</v>
      </c>
      <c r="K16" s="402">
        <v>1.2</v>
      </c>
    </row>
    <row r="17" spans="1:11" ht="16.5">
      <c r="A17" s="52"/>
      <c r="B17" s="399"/>
      <c r="C17" s="21"/>
      <c r="D17" s="404"/>
      <c r="E17" s="402"/>
      <c r="F17" s="402"/>
      <c r="G17" s="402"/>
      <c r="H17" s="402"/>
      <c r="I17" s="402"/>
      <c r="J17" s="402"/>
      <c r="K17" s="402"/>
    </row>
    <row r="18" spans="1:11" ht="16.5">
      <c r="A18" s="52" t="s">
        <v>882</v>
      </c>
      <c r="B18" s="399"/>
      <c r="C18" s="21"/>
      <c r="D18" s="404"/>
      <c r="E18" s="402"/>
      <c r="F18" s="402"/>
      <c r="G18" s="402"/>
      <c r="H18" s="402"/>
      <c r="I18" s="402"/>
      <c r="J18" s="402"/>
      <c r="K18" s="402"/>
    </row>
    <row r="19" spans="1:11" ht="3.75" customHeight="1">
      <c r="A19" s="52"/>
      <c r="B19" s="399"/>
      <c r="C19" s="21"/>
      <c r="D19" s="404"/>
      <c r="E19" s="402"/>
      <c r="F19" s="402"/>
      <c r="G19" s="402"/>
      <c r="H19" s="402"/>
      <c r="I19" s="402"/>
      <c r="J19" s="402"/>
      <c r="K19" s="402"/>
    </row>
    <row r="20" spans="1:11" ht="18" customHeight="1">
      <c r="A20" s="52" t="s">
        <v>883</v>
      </c>
      <c r="B20" s="399"/>
      <c r="C20" s="21"/>
      <c r="D20" s="404">
        <v>30.3</v>
      </c>
      <c r="E20" s="402">
        <v>36.4</v>
      </c>
      <c r="F20" s="347">
        <v>31.8</v>
      </c>
      <c r="G20" s="402">
        <v>33</v>
      </c>
      <c r="H20" s="402">
        <v>31.8</v>
      </c>
      <c r="I20" s="402">
        <v>35.1</v>
      </c>
      <c r="J20" s="402">
        <v>33</v>
      </c>
      <c r="K20" s="402">
        <v>21.4</v>
      </c>
    </row>
    <row r="21" spans="1:11" ht="18" customHeight="1">
      <c r="A21" s="52" t="s">
        <v>884</v>
      </c>
      <c r="B21" s="399"/>
      <c r="C21" s="21"/>
      <c r="D21" s="404">
        <v>61.9</v>
      </c>
      <c r="E21" s="402">
        <v>61</v>
      </c>
      <c r="F21" s="347">
        <v>64.3</v>
      </c>
      <c r="G21" s="402">
        <v>60.6</v>
      </c>
      <c r="H21" s="402">
        <v>65.8</v>
      </c>
      <c r="I21" s="402">
        <v>61.4</v>
      </c>
      <c r="J21" s="402">
        <v>66.4</v>
      </c>
      <c r="K21" s="402">
        <v>75.3</v>
      </c>
    </row>
    <row r="22" spans="1:11" ht="18" customHeight="1">
      <c r="A22" s="52" t="s">
        <v>885</v>
      </c>
      <c r="B22" s="399"/>
      <c r="C22" s="21"/>
      <c r="D22" s="404">
        <v>3</v>
      </c>
      <c r="E22" s="402">
        <v>2</v>
      </c>
      <c r="F22" s="347">
        <v>3.7</v>
      </c>
      <c r="G22" s="402">
        <v>5.4</v>
      </c>
      <c r="H22" s="402">
        <v>2.4</v>
      </c>
      <c r="I22" s="402">
        <v>3.5</v>
      </c>
      <c r="J22" s="402">
        <v>0.6</v>
      </c>
      <c r="K22" s="402">
        <v>3.3</v>
      </c>
    </row>
    <row r="23" spans="1:11" ht="9.75" customHeight="1">
      <c r="A23" s="177"/>
      <c r="B23" s="405"/>
      <c r="C23" s="54"/>
      <c r="D23" s="34"/>
      <c r="E23" s="34"/>
      <c r="F23" s="34"/>
      <c r="G23" s="34"/>
      <c r="H23" s="34"/>
      <c r="I23" s="34"/>
      <c r="J23" s="34"/>
      <c r="K23" s="34"/>
    </row>
    <row r="24" spans="1:11" ht="3.75" customHeight="1">
      <c r="A24" s="52"/>
      <c r="B24" s="399"/>
      <c r="C24" s="23"/>
      <c r="D24" s="23"/>
      <c r="E24" s="23"/>
      <c r="F24" s="23"/>
      <c r="G24" s="23"/>
      <c r="H24" s="23"/>
      <c r="I24" s="23"/>
      <c r="J24" s="23"/>
      <c r="K24" s="23"/>
    </row>
    <row r="25" ht="16.5">
      <c r="A25" s="406"/>
    </row>
    <row r="29" spans="1:11" s="9" customFormat="1" ht="15" customHeight="1">
      <c r="A29" s="2" t="s">
        <v>886</v>
      </c>
      <c r="B29" s="407"/>
      <c r="C29" s="8"/>
      <c r="G29" s="8"/>
      <c r="K29" s="8"/>
    </row>
    <row r="30" spans="1:11" s="9" customFormat="1" ht="15" customHeight="1">
      <c r="A30" s="52"/>
      <c r="B30" s="52"/>
      <c r="C30" s="8"/>
      <c r="G30" s="8"/>
      <c r="K30" s="8"/>
    </row>
    <row r="31" spans="1:12" s="207" customFormat="1" ht="19.5" customHeight="1">
      <c r="A31" s="132"/>
      <c r="B31" s="10"/>
      <c r="C31" s="566">
        <v>1998</v>
      </c>
      <c r="D31" s="568">
        <v>1999</v>
      </c>
      <c r="E31" s="570">
        <v>2000</v>
      </c>
      <c r="F31" s="38">
        <v>2000</v>
      </c>
      <c r="G31" s="38">
        <v>2000</v>
      </c>
      <c r="H31" s="38">
        <v>2000</v>
      </c>
      <c r="I31" s="38">
        <v>2001</v>
      </c>
      <c r="J31" s="408">
        <v>2001</v>
      </c>
      <c r="K31" s="527" t="s">
        <v>692</v>
      </c>
      <c r="L31" s="137"/>
    </row>
    <row r="32" spans="1:12" s="207" customFormat="1" ht="19.5" customHeight="1">
      <c r="A32" s="141"/>
      <c r="B32" s="15"/>
      <c r="C32" s="567"/>
      <c r="D32" s="569"/>
      <c r="E32" s="571"/>
      <c r="F32" s="39" t="s">
        <v>871</v>
      </c>
      <c r="G32" s="39" t="s">
        <v>872</v>
      </c>
      <c r="H32" s="39" t="s">
        <v>873</v>
      </c>
      <c r="I32" s="39" t="s">
        <v>874</v>
      </c>
      <c r="J32" s="409" t="s">
        <v>301</v>
      </c>
      <c r="K32" s="337"/>
      <c r="L32" s="137"/>
    </row>
    <row r="33" spans="1:10" s="207" customFormat="1" ht="9.75" customHeight="1">
      <c r="A33" s="143"/>
      <c r="B33" s="133"/>
      <c r="C33" s="50"/>
      <c r="D33" s="50"/>
      <c r="E33" s="50"/>
      <c r="F33" s="139"/>
      <c r="G33" s="139"/>
      <c r="H33" s="139"/>
      <c r="I33" s="139"/>
      <c r="J33" s="139"/>
    </row>
    <row r="34" spans="1:11" s="168" customFormat="1" ht="16.5" customHeight="1">
      <c r="A34" s="209" t="s">
        <v>887</v>
      </c>
      <c r="B34" s="26" t="s">
        <v>888</v>
      </c>
      <c r="C34" s="410">
        <v>11389</v>
      </c>
      <c r="D34" s="410">
        <v>9988</v>
      </c>
      <c r="E34" s="410">
        <v>7334</v>
      </c>
      <c r="F34" s="410">
        <v>2484</v>
      </c>
      <c r="G34" s="410">
        <v>2120</v>
      </c>
      <c r="H34" s="410">
        <v>1138</v>
      </c>
      <c r="I34" s="410">
        <v>1347</v>
      </c>
      <c r="J34" s="410">
        <v>1634</v>
      </c>
      <c r="K34" s="411" t="s">
        <v>706</v>
      </c>
    </row>
    <row r="35" spans="1:11" s="168" customFormat="1" ht="16.5" customHeight="1">
      <c r="A35" s="209"/>
      <c r="B35" s="26" t="s">
        <v>889</v>
      </c>
      <c r="C35" s="412">
        <v>23.5</v>
      </c>
      <c r="D35" s="412">
        <v>-12.30134340152779</v>
      </c>
      <c r="E35" s="412">
        <v>-26.57188626351622</v>
      </c>
      <c r="F35" s="412">
        <v>-12.8</v>
      </c>
      <c r="G35" s="412">
        <v>-20.3</v>
      </c>
      <c r="H35" s="412">
        <v>-48.9</v>
      </c>
      <c r="I35" s="412">
        <v>-15.389447236180903</v>
      </c>
      <c r="J35" s="412">
        <v>-34.2</v>
      </c>
      <c r="K35" s="411"/>
    </row>
    <row r="36" spans="1:11" s="3" customFormat="1" ht="16.5" customHeight="1">
      <c r="A36" s="52"/>
      <c r="B36" s="26"/>
      <c r="C36" s="153"/>
      <c r="D36" s="153"/>
      <c r="E36" s="153"/>
      <c r="F36" s="153"/>
      <c r="G36" s="153"/>
      <c r="H36" s="153"/>
      <c r="I36" s="153"/>
      <c r="J36" s="153"/>
      <c r="K36" s="413"/>
    </row>
    <row r="37" spans="1:11" s="3" customFormat="1" ht="16.5" customHeight="1">
      <c r="A37" s="209" t="s">
        <v>890</v>
      </c>
      <c r="B37" s="26" t="s">
        <v>888</v>
      </c>
      <c r="C37" s="410">
        <v>32013</v>
      </c>
      <c r="D37" s="410">
        <v>32183</v>
      </c>
      <c r="E37" s="410">
        <v>27221</v>
      </c>
      <c r="F37" s="410">
        <v>28215</v>
      </c>
      <c r="G37" s="410">
        <v>28113</v>
      </c>
      <c r="H37" s="410">
        <v>27221</v>
      </c>
      <c r="I37" s="410">
        <v>25777</v>
      </c>
      <c r="J37" s="410">
        <v>25813</v>
      </c>
      <c r="K37" s="412">
        <v>100</v>
      </c>
    </row>
    <row r="38" spans="1:11" s="3" customFormat="1" ht="16.5" customHeight="1">
      <c r="A38" s="209"/>
      <c r="B38" s="26" t="s">
        <v>889</v>
      </c>
      <c r="C38" s="157">
        <v>7.7</v>
      </c>
      <c r="D38" s="157">
        <v>0.5310342673288977</v>
      </c>
      <c r="E38" s="157">
        <v>-15.418077867196967</v>
      </c>
      <c r="F38" s="167">
        <v>-13.4</v>
      </c>
      <c r="G38" s="167">
        <v>-13.8</v>
      </c>
      <c r="H38" s="167">
        <v>-15.4</v>
      </c>
      <c r="I38" s="412">
        <v>-7.975438220699011</v>
      </c>
      <c r="J38" s="412">
        <v>-8.5</v>
      </c>
      <c r="K38" s="373"/>
    </row>
    <row r="39" spans="1:11" s="168" customFormat="1" ht="15" customHeight="1">
      <c r="A39" s="209"/>
      <c r="B39" s="26"/>
      <c r="C39" s="414"/>
      <c r="D39" s="414"/>
      <c r="E39" s="414"/>
      <c r="F39" s="414"/>
      <c r="G39" s="414"/>
      <c r="H39" s="414"/>
      <c r="I39" s="414"/>
      <c r="J39" s="414"/>
      <c r="K39" s="415"/>
    </row>
    <row r="40" spans="1:11" s="3" customFormat="1" ht="16.5" customHeight="1">
      <c r="A40" s="52" t="s">
        <v>891</v>
      </c>
      <c r="B40" s="26"/>
      <c r="C40" s="167"/>
      <c r="D40" s="167"/>
      <c r="E40" s="167"/>
      <c r="F40" s="167"/>
      <c r="G40" s="167"/>
      <c r="H40" s="167"/>
      <c r="I40" s="167"/>
      <c r="J40" s="167"/>
      <c r="K40" s="415"/>
    </row>
    <row r="41" spans="1:11" s="3" customFormat="1" ht="16.5" customHeight="1">
      <c r="A41" s="52" t="s">
        <v>892</v>
      </c>
      <c r="B41" s="26"/>
      <c r="C41" s="416" t="s">
        <v>794</v>
      </c>
      <c r="D41" s="373" t="s">
        <v>794</v>
      </c>
      <c r="E41" s="370">
        <v>15650</v>
      </c>
      <c r="F41" s="370">
        <v>15945</v>
      </c>
      <c r="G41" s="370">
        <v>16148</v>
      </c>
      <c r="H41" s="370">
        <v>15650</v>
      </c>
      <c r="I41" s="370">
        <v>14761</v>
      </c>
      <c r="J41" s="370">
        <v>15193</v>
      </c>
      <c r="K41" s="412">
        <v>58.9</v>
      </c>
    </row>
    <row r="42" spans="1:11" s="3" customFormat="1" ht="16.5" customHeight="1">
      <c r="A42" s="52" t="s">
        <v>893</v>
      </c>
      <c r="B42" s="26"/>
      <c r="C42" s="416" t="s">
        <v>794</v>
      </c>
      <c r="D42" s="373" t="s">
        <v>794</v>
      </c>
      <c r="E42" s="370">
        <v>938</v>
      </c>
      <c r="F42" s="370">
        <v>1113</v>
      </c>
      <c r="G42" s="370">
        <v>964</v>
      </c>
      <c r="H42" s="370">
        <v>938</v>
      </c>
      <c r="I42" s="370">
        <v>789</v>
      </c>
      <c r="J42" s="370">
        <v>617</v>
      </c>
      <c r="K42" s="412">
        <v>2.4</v>
      </c>
    </row>
    <row r="43" spans="1:11" s="3" customFormat="1" ht="16.5" customHeight="1">
      <c r="A43" s="52" t="s">
        <v>894</v>
      </c>
      <c r="B43" s="26"/>
      <c r="C43" s="416" t="s">
        <v>794</v>
      </c>
      <c r="D43" s="373" t="s">
        <v>794</v>
      </c>
      <c r="E43" s="370">
        <v>1480</v>
      </c>
      <c r="F43" s="370">
        <v>1606</v>
      </c>
      <c r="G43" s="370">
        <v>1641</v>
      </c>
      <c r="H43" s="370">
        <v>1480</v>
      </c>
      <c r="I43" s="370">
        <v>1354</v>
      </c>
      <c r="J43" s="370">
        <v>1313</v>
      </c>
      <c r="K43" s="412">
        <v>5.1</v>
      </c>
    </row>
    <row r="44" spans="1:11" s="3" customFormat="1" ht="16.5" customHeight="1">
      <c r="A44" s="52" t="s">
        <v>895</v>
      </c>
      <c r="B44" s="26"/>
      <c r="C44" s="416" t="s">
        <v>794</v>
      </c>
      <c r="D44" s="373" t="s">
        <v>794</v>
      </c>
      <c r="E44" s="370">
        <v>2896</v>
      </c>
      <c r="F44" s="370">
        <v>3151</v>
      </c>
      <c r="G44" s="370">
        <v>3023</v>
      </c>
      <c r="H44" s="370">
        <v>2896</v>
      </c>
      <c r="I44" s="370">
        <v>2647</v>
      </c>
      <c r="J44" s="370">
        <v>2547</v>
      </c>
      <c r="K44" s="412">
        <v>9.9</v>
      </c>
    </row>
    <row r="45" spans="1:11" s="3" customFormat="1" ht="16.5" customHeight="1">
      <c r="A45" s="52" t="s">
        <v>896</v>
      </c>
      <c r="B45" s="31"/>
      <c r="C45" s="416" t="s">
        <v>794</v>
      </c>
      <c r="D45" s="373" t="s">
        <v>794</v>
      </c>
      <c r="E45" s="370">
        <v>1865</v>
      </c>
      <c r="F45" s="370">
        <v>1746</v>
      </c>
      <c r="G45" s="370">
        <v>1850</v>
      </c>
      <c r="H45" s="370">
        <v>1865</v>
      </c>
      <c r="I45" s="370">
        <v>1807</v>
      </c>
      <c r="J45" s="370">
        <v>1836</v>
      </c>
      <c r="K45" s="412">
        <v>7.1</v>
      </c>
    </row>
    <row r="46" spans="1:11" s="3" customFormat="1" ht="16.5" customHeight="1">
      <c r="A46" s="52" t="s">
        <v>897</v>
      </c>
      <c r="B46" s="26"/>
      <c r="C46" s="416" t="s">
        <v>794</v>
      </c>
      <c r="D46" s="373" t="s">
        <v>794</v>
      </c>
      <c r="E46" s="370">
        <v>1492</v>
      </c>
      <c r="F46" s="373" t="s">
        <v>794</v>
      </c>
      <c r="G46" s="373" t="s">
        <v>794</v>
      </c>
      <c r="H46" s="370">
        <v>1492</v>
      </c>
      <c r="I46" s="370">
        <v>1431</v>
      </c>
      <c r="J46" s="370">
        <v>1470</v>
      </c>
      <c r="K46" s="412">
        <v>5.7</v>
      </c>
    </row>
    <row r="47" spans="1:11" s="3" customFormat="1" ht="16.5" customHeight="1">
      <c r="A47" s="52" t="s">
        <v>898</v>
      </c>
      <c r="B47" s="26"/>
      <c r="C47" s="416" t="s">
        <v>794</v>
      </c>
      <c r="D47" s="373" t="s">
        <v>794</v>
      </c>
      <c r="E47" s="370">
        <v>255</v>
      </c>
      <c r="F47" s="373" t="s">
        <v>794</v>
      </c>
      <c r="G47" s="373" t="s">
        <v>794</v>
      </c>
      <c r="H47" s="370">
        <v>255</v>
      </c>
      <c r="I47" s="370">
        <v>260</v>
      </c>
      <c r="J47" s="370">
        <v>257</v>
      </c>
      <c r="K47" s="412">
        <v>1</v>
      </c>
    </row>
    <row r="48" spans="1:11" ht="9.75" customHeight="1">
      <c r="A48" s="34"/>
      <c r="B48" s="417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3.75" customHeight="1">
      <c r="A49" s="23"/>
      <c r="B49" s="7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6.5">
      <c r="A50" s="35" t="s">
        <v>899</v>
      </c>
      <c r="B50" s="7"/>
      <c r="K50" s="23"/>
    </row>
    <row r="51" spans="1:11" ht="16.5">
      <c r="A51" s="359"/>
      <c r="B51" s="7"/>
      <c r="K51" s="23"/>
    </row>
  </sheetData>
  <mergeCells count="7">
    <mergeCell ref="C31:C32"/>
    <mergeCell ref="D31:D32"/>
    <mergeCell ref="E31:E32"/>
    <mergeCell ref="K31:K32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7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5.50390625" style="23" customWidth="1"/>
    <col min="2" max="8" width="8.625" style="24" customWidth="1"/>
    <col min="9" max="9" width="8.625" style="23" customWidth="1"/>
    <col min="10" max="16384" width="9.00390625" style="24" customWidth="1"/>
  </cols>
  <sheetData>
    <row r="1" spans="1:9" s="3" customFormat="1" ht="18.75" customHeight="1">
      <c r="A1" s="1" t="s">
        <v>324</v>
      </c>
      <c r="B1" s="2"/>
      <c r="E1" s="2"/>
      <c r="I1" s="2"/>
    </row>
    <row r="2" spans="1:9" s="3" customFormat="1" ht="15" customHeight="1">
      <c r="A2" s="4"/>
      <c r="B2" s="2"/>
      <c r="E2" s="2"/>
      <c r="I2" s="2"/>
    </row>
    <row r="3" spans="1:9" s="3" customFormat="1" ht="15" customHeight="1">
      <c r="A3" s="4"/>
      <c r="B3" s="2"/>
      <c r="E3" s="2"/>
      <c r="I3" s="2"/>
    </row>
    <row r="4" spans="1:9" s="3" customFormat="1" ht="15" customHeight="1">
      <c r="A4" s="5" t="s">
        <v>325</v>
      </c>
      <c r="B4" s="2"/>
      <c r="E4" s="2"/>
      <c r="I4" s="2"/>
    </row>
    <row r="5" spans="1:9" s="3" customFormat="1" ht="15" customHeight="1">
      <c r="A5" s="2"/>
      <c r="B5" s="2"/>
      <c r="E5" s="2"/>
      <c r="I5" s="37" t="s">
        <v>326</v>
      </c>
    </row>
    <row r="6" spans="1:9" s="3" customFormat="1" ht="2.25" customHeight="1">
      <c r="A6" s="7"/>
      <c r="B6" s="8"/>
      <c r="C6" s="9"/>
      <c r="D6" s="9"/>
      <c r="E6" s="8"/>
      <c r="F6" s="9"/>
      <c r="G6" s="9"/>
      <c r="H6" s="9"/>
      <c r="I6" s="8"/>
    </row>
    <row r="7" spans="1:9" s="14" customFormat="1" ht="16.5" customHeight="1">
      <c r="A7" s="10"/>
      <c r="B7" s="566">
        <v>1998</v>
      </c>
      <c r="C7" s="568">
        <v>1999</v>
      </c>
      <c r="D7" s="570">
        <v>2000</v>
      </c>
      <c r="E7" s="38">
        <v>2000</v>
      </c>
      <c r="F7" s="38">
        <v>2000</v>
      </c>
      <c r="G7" s="38">
        <v>2000</v>
      </c>
      <c r="H7" s="38">
        <v>2001</v>
      </c>
      <c r="I7" s="38">
        <v>2001</v>
      </c>
    </row>
    <row r="8" spans="1:9" s="14" customFormat="1" ht="16.5" customHeight="1">
      <c r="A8" s="15"/>
      <c r="B8" s="567"/>
      <c r="C8" s="569"/>
      <c r="D8" s="571"/>
      <c r="E8" s="39" t="s">
        <v>327</v>
      </c>
      <c r="F8" s="39" t="s">
        <v>328</v>
      </c>
      <c r="G8" s="39" t="s">
        <v>329</v>
      </c>
      <c r="H8" s="39" t="s">
        <v>330</v>
      </c>
      <c r="I8" s="40" t="s">
        <v>327</v>
      </c>
    </row>
    <row r="9" spans="1:8" ht="9.75" customHeight="1">
      <c r="A9" s="21"/>
      <c r="B9" s="22"/>
      <c r="C9" s="23"/>
      <c r="D9" s="23"/>
      <c r="E9" s="23"/>
      <c r="F9" s="23"/>
      <c r="G9" s="23"/>
      <c r="H9" s="23"/>
    </row>
    <row r="10" spans="1:9" ht="16.5" customHeight="1">
      <c r="A10" s="25" t="s">
        <v>331</v>
      </c>
      <c r="B10" s="41"/>
      <c r="C10" s="8"/>
      <c r="D10" s="8"/>
      <c r="E10" s="8"/>
      <c r="F10" s="8"/>
      <c r="G10" s="8"/>
      <c r="H10" s="8"/>
      <c r="I10" s="8"/>
    </row>
    <row r="11" spans="1:9" ht="16.5" customHeight="1">
      <c r="A11" s="26" t="s">
        <v>332</v>
      </c>
      <c r="B11" s="42">
        <v>4.4</v>
      </c>
      <c r="C11" s="42">
        <v>4.2</v>
      </c>
      <c r="D11" s="42">
        <v>5</v>
      </c>
      <c r="E11" s="43">
        <v>5.7</v>
      </c>
      <c r="F11" s="43">
        <v>1.3</v>
      </c>
      <c r="G11" s="43">
        <v>1.9</v>
      </c>
      <c r="H11" s="43">
        <v>1.3</v>
      </c>
      <c r="I11" s="43">
        <v>0.2</v>
      </c>
    </row>
    <row r="12" spans="1:9" ht="16.5" customHeight="1">
      <c r="A12" s="28" t="s">
        <v>333</v>
      </c>
      <c r="B12" s="42">
        <v>-1</v>
      </c>
      <c r="C12" s="42">
        <v>2</v>
      </c>
      <c r="D12" s="42">
        <v>12.4</v>
      </c>
      <c r="E12" s="43">
        <v>3.1</v>
      </c>
      <c r="F12" s="43">
        <v>3.9</v>
      </c>
      <c r="G12" s="43">
        <v>-1.4</v>
      </c>
      <c r="H12" s="43">
        <v>-0.7</v>
      </c>
      <c r="I12" s="43">
        <v>-4.6</v>
      </c>
    </row>
    <row r="13" spans="1:9" ht="16.5" customHeight="1">
      <c r="A13" s="28" t="s">
        <v>334</v>
      </c>
      <c r="B13" s="42">
        <v>4.9</v>
      </c>
      <c r="C13" s="42">
        <v>12.4</v>
      </c>
      <c r="D13" s="42">
        <v>18.9</v>
      </c>
      <c r="E13" s="42">
        <v>4.2</v>
      </c>
      <c r="F13" s="42">
        <v>3.5</v>
      </c>
      <c r="G13" s="42">
        <v>0.1</v>
      </c>
      <c r="H13" s="42">
        <v>-2.3</v>
      </c>
      <c r="I13" s="42">
        <v>-4.6</v>
      </c>
    </row>
    <row r="14" spans="1:9" ht="16.5" customHeight="1">
      <c r="A14" s="26" t="s">
        <v>309</v>
      </c>
      <c r="B14" s="42">
        <v>1.6</v>
      </c>
      <c r="C14" s="42">
        <v>2.7</v>
      </c>
      <c r="D14" s="44">
        <v>3.4</v>
      </c>
      <c r="E14" s="42">
        <v>0.9</v>
      </c>
      <c r="F14" s="42">
        <v>0.8</v>
      </c>
      <c r="G14" s="42">
        <v>0.7</v>
      </c>
      <c r="H14" s="42">
        <v>1</v>
      </c>
      <c r="I14" s="42">
        <v>0.8</v>
      </c>
    </row>
    <row r="15" spans="1:9" ht="16.5" customHeight="1">
      <c r="A15" s="26" t="s">
        <v>310</v>
      </c>
      <c r="B15" s="42">
        <v>4.5</v>
      </c>
      <c r="C15" s="42">
        <v>4.2</v>
      </c>
      <c r="D15" s="42">
        <v>4</v>
      </c>
      <c r="E15" s="42">
        <v>4</v>
      </c>
      <c r="F15" s="42">
        <v>4</v>
      </c>
      <c r="G15" s="42">
        <v>4</v>
      </c>
      <c r="H15" s="42">
        <v>4.2</v>
      </c>
      <c r="I15" s="42">
        <v>4.5</v>
      </c>
    </row>
    <row r="16" spans="1:9" ht="7.5" customHeight="1">
      <c r="A16" s="26"/>
      <c r="B16" s="45"/>
      <c r="C16" s="46"/>
      <c r="D16" s="46"/>
      <c r="E16" s="46"/>
      <c r="F16" s="46"/>
      <c r="G16" s="46"/>
      <c r="H16" s="46"/>
      <c r="I16" s="46"/>
    </row>
    <row r="17" spans="1:9" ht="16.5" customHeight="1">
      <c r="A17" s="25" t="s">
        <v>335</v>
      </c>
      <c r="B17" s="45"/>
      <c r="C17" s="46"/>
      <c r="D17" s="46"/>
      <c r="E17" s="46"/>
      <c r="F17" s="46"/>
      <c r="G17" s="46"/>
      <c r="H17" s="46"/>
      <c r="I17" s="46"/>
    </row>
    <row r="18" spans="1:9" ht="16.5" customHeight="1">
      <c r="A18" s="28" t="s">
        <v>332</v>
      </c>
      <c r="B18" s="42">
        <v>-1.1</v>
      </c>
      <c r="C18" s="42">
        <v>0.8</v>
      </c>
      <c r="D18" s="42">
        <v>1.5</v>
      </c>
      <c r="E18" s="42">
        <v>0.1</v>
      </c>
      <c r="F18" s="42">
        <v>-0.7</v>
      </c>
      <c r="G18" s="42">
        <v>0.6</v>
      </c>
      <c r="H18" s="42">
        <v>0.1</v>
      </c>
      <c r="I18" s="42">
        <v>-0.8</v>
      </c>
    </row>
    <row r="19" spans="1:9" ht="16.5" customHeight="1">
      <c r="A19" s="28" t="s">
        <v>333</v>
      </c>
      <c r="B19" s="42">
        <v>-0.6</v>
      </c>
      <c r="C19" s="42">
        <v>-6.1</v>
      </c>
      <c r="D19" s="42">
        <v>8.6</v>
      </c>
      <c r="E19" s="42">
        <v>2.3</v>
      </c>
      <c r="F19" s="42">
        <v>1</v>
      </c>
      <c r="G19" s="42">
        <v>-0.3</v>
      </c>
      <c r="H19" s="42">
        <v>0.3</v>
      </c>
      <c r="I19" s="42">
        <v>-4.8</v>
      </c>
    </row>
    <row r="20" spans="1:9" ht="16.5" customHeight="1">
      <c r="A20" s="28" t="s">
        <v>334</v>
      </c>
      <c r="B20" s="42">
        <v>-10.5</v>
      </c>
      <c r="C20" s="44">
        <v>-3.8</v>
      </c>
      <c r="D20" s="44">
        <v>16.1</v>
      </c>
      <c r="E20" s="43">
        <v>5.5</v>
      </c>
      <c r="F20" s="43">
        <v>3</v>
      </c>
      <c r="G20" s="43">
        <v>4.8</v>
      </c>
      <c r="H20" s="43">
        <v>2.9</v>
      </c>
      <c r="I20" s="42">
        <v>-1.6</v>
      </c>
    </row>
    <row r="21" spans="1:9" ht="16.5" customHeight="1">
      <c r="A21" s="26" t="s">
        <v>309</v>
      </c>
      <c r="B21" s="42">
        <v>0.6</v>
      </c>
      <c r="C21" s="44">
        <v>-0.3</v>
      </c>
      <c r="D21" s="44">
        <v>-0.7</v>
      </c>
      <c r="E21" s="43">
        <v>-0.3</v>
      </c>
      <c r="F21" s="43">
        <v>-0.1</v>
      </c>
      <c r="G21" s="43">
        <v>-0.1</v>
      </c>
      <c r="H21" s="43">
        <v>0.3</v>
      </c>
      <c r="I21" s="42">
        <v>-0.6</v>
      </c>
    </row>
    <row r="22" spans="1:9" ht="16.5" customHeight="1">
      <c r="A22" s="26" t="s">
        <v>310</v>
      </c>
      <c r="B22" s="42">
        <v>4.1</v>
      </c>
      <c r="C22" s="42">
        <v>4.7</v>
      </c>
      <c r="D22" s="42">
        <v>4.7</v>
      </c>
      <c r="E22" s="43">
        <v>4.7</v>
      </c>
      <c r="F22" s="43">
        <v>4.6</v>
      </c>
      <c r="G22" s="43">
        <v>4.8</v>
      </c>
      <c r="H22" s="43">
        <v>4.7</v>
      </c>
      <c r="I22" s="43">
        <v>4.9</v>
      </c>
    </row>
    <row r="23" spans="1:9" ht="7.5" customHeight="1">
      <c r="A23" s="31"/>
      <c r="B23" s="45"/>
      <c r="C23" s="46"/>
      <c r="D23" s="46"/>
      <c r="E23" s="46"/>
      <c r="F23" s="46"/>
      <c r="G23" s="46"/>
      <c r="H23" s="46"/>
      <c r="I23" s="46"/>
    </row>
    <row r="24" spans="1:9" ht="16.5" customHeight="1">
      <c r="A24" s="25" t="s">
        <v>336</v>
      </c>
      <c r="B24" s="45"/>
      <c r="C24" s="46"/>
      <c r="D24" s="46"/>
      <c r="E24" s="46"/>
      <c r="F24" s="46"/>
      <c r="G24" s="46"/>
      <c r="H24" s="46"/>
      <c r="I24" s="46"/>
    </row>
    <row r="25" spans="1:9" ht="16.5" customHeight="1">
      <c r="A25" s="28" t="s">
        <v>332</v>
      </c>
      <c r="B25" s="42">
        <v>-5.3</v>
      </c>
      <c r="C25" s="42">
        <v>3.1</v>
      </c>
      <c r="D25" s="42">
        <v>10.5</v>
      </c>
      <c r="E25" s="43">
        <v>-0.7</v>
      </c>
      <c r="F25" s="43">
        <v>1.9</v>
      </c>
      <c r="G25" s="43">
        <v>0.3</v>
      </c>
      <c r="H25" s="43">
        <v>0</v>
      </c>
      <c r="I25" s="43">
        <v>-1.7</v>
      </c>
    </row>
    <row r="26" spans="1:9" ht="16.5" customHeight="1">
      <c r="A26" s="28" t="s">
        <v>333</v>
      </c>
      <c r="B26" s="42">
        <v>-7.4</v>
      </c>
      <c r="C26" s="42">
        <v>0.1</v>
      </c>
      <c r="D26" s="42">
        <v>16.6</v>
      </c>
      <c r="E26" s="43">
        <v>2.3</v>
      </c>
      <c r="F26" s="43">
        <v>4.9</v>
      </c>
      <c r="G26" s="43">
        <v>-1</v>
      </c>
      <c r="H26" s="43">
        <v>-2.7</v>
      </c>
      <c r="I26" s="43">
        <v>-5.9</v>
      </c>
    </row>
    <row r="27" spans="1:9" ht="16.5" customHeight="1">
      <c r="A27" s="28" t="s">
        <v>334</v>
      </c>
      <c r="B27" s="42">
        <v>-11.5</v>
      </c>
      <c r="C27" s="42">
        <v>-2.5</v>
      </c>
      <c r="D27" s="42">
        <v>19</v>
      </c>
      <c r="E27" s="43">
        <v>0.8</v>
      </c>
      <c r="F27" s="43">
        <v>7.1</v>
      </c>
      <c r="G27" s="43">
        <v>-1.4</v>
      </c>
      <c r="H27" s="43">
        <v>-1</v>
      </c>
      <c r="I27" s="43">
        <v>-7.6</v>
      </c>
    </row>
    <row r="28" spans="1:9" ht="16.5" customHeight="1">
      <c r="A28" s="26" t="s">
        <v>309</v>
      </c>
      <c r="B28" s="42">
        <v>2.8</v>
      </c>
      <c r="C28" s="42">
        <v>-4</v>
      </c>
      <c r="D28" s="42">
        <v>-3.8</v>
      </c>
      <c r="E28" s="43">
        <v>-0.3</v>
      </c>
      <c r="F28" s="43">
        <v>-0.2</v>
      </c>
      <c r="G28" s="43">
        <v>-0.1</v>
      </c>
      <c r="H28" s="43">
        <v>-0.3</v>
      </c>
      <c r="I28" s="43">
        <v>-0.1</v>
      </c>
    </row>
    <row r="29" spans="1:9" ht="16.5" customHeight="1">
      <c r="A29" s="26" t="s">
        <v>310</v>
      </c>
      <c r="B29" s="42">
        <v>4.7</v>
      </c>
      <c r="C29" s="42">
        <v>6.3</v>
      </c>
      <c r="D29" s="42">
        <v>5</v>
      </c>
      <c r="E29" s="43">
        <v>5.1</v>
      </c>
      <c r="F29" s="43">
        <v>4.9</v>
      </c>
      <c r="G29" s="43">
        <v>4.4</v>
      </c>
      <c r="H29" s="43">
        <v>4.6</v>
      </c>
      <c r="I29" s="43">
        <v>4.6</v>
      </c>
    </row>
    <row r="30" spans="1:9" ht="9.75" customHeight="1">
      <c r="A30" s="32"/>
      <c r="B30" s="33"/>
      <c r="C30" s="34"/>
      <c r="D30" s="34"/>
      <c r="E30" s="34"/>
      <c r="F30" s="34"/>
      <c r="G30" s="34"/>
      <c r="H30" s="34"/>
      <c r="I30" s="34"/>
    </row>
    <row r="31" ht="16.5">
      <c r="A31" s="36" t="s">
        <v>337</v>
      </c>
    </row>
    <row r="32" ht="16.5">
      <c r="A32" s="36" t="s">
        <v>338</v>
      </c>
    </row>
    <row r="33" ht="16.5">
      <c r="A33" s="36" t="s">
        <v>339</v>
      </c>
    </row>
    <row r="34" ht="16.5">
      <c r="A34" s="36"/>
    </row>
    <row r="35" ht="16.5">
      <c r="A35" s="36"/>
    </row>
    <row r="36" ht="16.5">
      <c r="A36" s="36"/>
    </row>
    <row r="37" ht="16.5">
      <c r="A37" s="36"/>
    </row>
    <row r="38" ht="16.5">
      <c r="A38" s="36"/>
    </row>
    <row r="39" ht="16.5">
      <c r="A39" s="2" t="s">
        <v>340</v>
      </c>
    </row>
    <row r="40" ht="16.5" customHeight="1"/>
    <row r="41" spans="1:9" s="49" customFormat="1" ht="16.5" customHeight="1">
      <c r="A41" s="47"/>
      <c r="B41" s="47"/>
      <c r="C41" s="47"/>
      <c r="D41" s="48"/>
      <c r="E41" s="47">
        <v>1996</v>
      </c>
      <c r="F41" s="47">
        <v>1997</v>
      </c>
      <c r="G41" s="47">
        <v>1998</v>
      </c>
      <c r="H41" s="47">
        <v>1999</v>
      </c>
      <c r="I41" s="47">
        <v>2000</v>
      </c>
    </row>
    <row r="42" spans="1:9" s="49" customFormat="1" ht="9.75" customHeight="1">
      <c r="A42" s="50"/>
      <c r="B42" s="50"/>
      <c r="C42" s="50"/>
      <c r="D42" s="51"/>
      <c r="E42" s="50"/>
      <c r="F42" s="50"/>
      <c r="G42" s="50"/>
      <c r="H42" s="50"/>
      <c r="I42" s="50"/>
    </row>
    <row r="43" spans="1:9" ht="16.5" customHeight="1">
      <c r="A43" s="8" t="s">
        <v>341</v>
      </c>
      <c r="B43" s="52"/>
      <c r="C43" s="52"/>
      <c r="D43" s="26"/>
      <c r="E43" s="53">
        <v>552.93517</v>
      </c>
      <c r="F43" s="53">
        <v>558.94292</v>
      </c>
      <c r="G43" s="53">
        <v>519.01691</v>
      </c>
      <c r="H43" s="53">
        <v>490.7148</v>
      </c>
      <c r="I43" s="53">
        <v>498.28315</v>
      </c>
    </row>
    <row r="44" spans="1:9" ht="16.5" customHeight="1">
      <c r="A44" s="8" t="s">
        <v>342</v>
      </c>
      <c r="B44" s="52"/>
      <c r="C44" s="52"/>
      <c r="D44" s="26"/>
      <c r="E44" s="53">
        <v>-0.1</v>
      </c>
      <c r="F44" s="53">
        <v>1.1</v>
      </c>
      <c r="G44" s="53">
        <v>-7.1</v>
      </c>
      <c r="H44" s="53">
        <v>-5.5</v>
      </c>
      <c r="I44" s="53">
        <v>1.5</v>
      </c>
    </row>
    <row r="45" spans="1:9" ht="16.5" customHeight="1">
      <c r="A45" s="8" t="s">
        <v>343</v>
      </c>
      <c r="B45" s="52"/>
      <c r="C45" s="52"/>
      <c r="D45" s="26"/>
      <c r="E45" s="53">
        <v>-0.4</v>
      </c>
      <c r="F45" s="53">
        <v>-0.3</v>
      </c>
      <c r="G45" s="53">
        <v>-4.6</v>
      </c>
      <c r="H45" s="53">
        <v>-3</v>
      </c>
      <c r="I45" s="53">
        <v>4.6</v>
      </c>
    </row>
    <row r="46" spans="1:9" ht="16.5" customHeight="1">
      <c r="A46" s="8" t="s">
        <v>344</v>
      </c>
      <c r="B46" s="52"/>
      <c r="C46" s="52"/>
      <c r="D46" s="26"/>
      <c r="E46" s="53">
        <v>133.096</v>
      </c>
      <c r="F46" s="53">
        <v>133.416</v>
      </c>
      <c r="G46" s="53">
        <v>121.75</v>
      </c>
      <c r="H46" s="53">
        <v>113.067</v>
      </c>
      <c r="I46" s="53">
        <v>113.847</v>
      </c>
    </row>
    <row r="47" spans="1:9" ht="9.75" customHeight="1">
      <c r="A47" s="34"/>
      <c r="B47" s="34"/>
      <c r="C47" s="34"/>
      <c r="D47" s="54"/>
      <c r="E47" s="34"/>
      <c r="F47" s="34"/>
      <c r="G47" s="34"/>
      <c r="H47" s="34"/>
      <c r="I47" s="34"/>
    </row>
  </sheetData>
  <mergeCells count="3"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L63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2.25390625" style="7" customWidth="1"/>
    <col min="2" max="2" width="10.375" style="7" customWidth="1"/>
    <col min="3" max="3" width="7.125" style="2" customWidth="1"/>
    <col min="4" max="5" width="7.125" style="3" customWidth="1"/>
    <col min="6" max="6" width="10.25390625" style="3" customWidth="1"/>
    <col min="7" max="7" width="7.125" style="2" customWidth="1"/>
    <col min="8" max="10" width="7.125" style="3" customWidth="1"/>
    <col min="11" max="11" width="7.125" style="2" customWidth="1"/>
    <col min="12" max="12" width="7.625" style="24" customWidth="1"/>
    <col min="13" max="16384" width="9.00390625" style="24" customWidth="1"/>
  </cols>
  <sheetData>
    <row r="1" spans="1:11" s="9" customFormat="1" ht="17.25" customHeight="1">
      <c r="A1" s="1" t="s">
        <v>900</v>
      </c>
      <c r="B1" s="407"/>
      <c r="C1" s="8"/>
      <c r="G1" s="8"/>
      <c r="K1" s="8"/>
    </row>
    <row r="2" spans="1:11" s="9" customFormat="1" ht="15" customHeight="1">
      <c r="A2" s="4"/>
      <c r="B2" s="407"/>
      <c r="C2" s="8"/>
      <c r="G2" s="8"/>
      <c r="K2" s="8"/>
    </row>
    <row r="3" spans="1:11" s="9" customFormat="1" ht="15" customHeight="1">
      <c r="A3" s="4"/>
      <c r="B3" s="407"/>
      <c r="C3" s="8"/>
      <c r="G3" s="8"/>
      <c r="K3" s="8"/>
    </row>
    <row r="4" spans="1:11" s="9" customFormat="1" ht="15" customHeight="1">
      <c r="A4" s="2" t="s">
        <v>901</v>
      </c>
      <c r="B4" s="407"/>
      <c r="C4" s="8"/>
      <c r="G4" s="8"/>
      <c r="K4" s="8"/>
    </row>
    <row r="5" spans="1:12" s="9" customFormat="1" ht="15" customHeight="1">
      <c r="A5" s="52"/>
      <c r="B5" s="52"/>
      <c r="C5" s="8"/>
      <c r="G5" s="8"/>
      <c r="K5" s="8"/>
      <c r="L5" s="187"/>
    </row>
    <row r="6" spans="1:12" s="9" customFormat="1" ht="15" customHeight="1">
      <c r="A6" s="132"/>
      <c r="B6" s="132"/>
      <c r="C6" s="566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2">
        <v>2001</v>
      </c>
      <c r="L6" s="201"/>
    </row>
    <row r="7" spans="1:12" s="9" customFormat="1" ht="15" customHeight="1">
      <c r="A7" s="143"/>
      <c r="B7" s="143"/>
      <c r="C7" s="572"/>
      <c r="D7" s="573"/>
      <c r="E7" s="573"/>
      <c r="F7" s="138" t="s">
        <v>481</v>
      </c>
      <c r="G7" s="139" t="s">
        <v>301</v>
      </c>
      <c r="H7" s="139" t="s">
        <v>302</v>
      </c>
      <c r="I7" s="139" t="s">
        <v>303</v>
      </c>
      <c r="J7" s="139" t="s">
        <v>304</v>
      </c>
      <c r="K7" s="140" t="s">
        <v>301</v>
      </c>
      <c r="L7" s="418" t="s">
        <v>692</v>
      </c>
    </row>
    <row r="8" spans="1:12" s="9" customFormat="1" ht="15" customHeight="1">
      <c r="A8" s="141"/>
      <c r="B8" s="141"/>
      <c r="C8" s="567"/>
      <c r="D8" s="569"/>
      <c r="E8" s="569"/>
      <c r="F8" s="142" t="s">
        <v>301</v>
      </c>
      <c r="G8" s="19"/>
      <c r="H8" s="19"/>
      <c r="I8" s="19"/>
      <c r="J8" s="19"/>
      <c r="K8" s="19"/>
      <c r="L8" s="233"/>
    </row>
    <row r="9" spans="1:12" s="9" customFormat="1" ht="9.75" customHeight="1">
      <c r="A9" s="143"/>
      <c r="B9" s="143"/>
      <c r="C9" s="64"/>
      <c r="D9" s="50"/>
      <c r="E9" s="50"/>
      <c r="F9" s="144"/>
      <c r="G9" s="144"/>
      <c r="H9" s="144"/>
      <c r="I9" s="144"/>
      <c r="J9" s="144"/>
      <c r="K9" s="144"/>
      <c r="L9" s="192"/>
    </row>
    <row r="10" spans="1:12" s="267" customFormat="1" ht="15" customHeight="1">
      <c r="A10" s="209" t="s">
        <v>902</v>
      </c>
      <c r="B10" s="52" t="s">
        <v>903</v>
      </c>
      <c r="C10" s="419">
        <v>74</v>
      </c>
      <c r="D10" s="420">
        <v>55</v>
      </c>
      <c r="E10" s="420">
        <v>34</v>
      </c>
      <c r="F10" s="420">
        <v>12</v>
      </c>
      <c r="G10" s="420">
        <v>8</v>
      </c>
      <c r="H10" s="420">
        <v>12</v>
      </c>
      <c r="I10" s="420">
        <v>4</v>
      </c>
      <c r="J10" s="420">
        <v>3</v>
      </c>
      <c r="K10" s="420">
        <v>9</v>
      </c>
      <c r="L10" s="276" t="s">
        <v>706</v>
      </c>
    </row>
    <row r="11" spans="1:12" s="267" customFormat="1" ht="15" customHeight="1">
      <c r="A11" s="209"/>
      <c r="B11" s="52" t="s">
        <v>695</v>
      </c>
      <c r="C11" s="217">
        <v>-19.565217391304344</v>
      </c>
      <c r="D11" s="157">
        <v>-25.67567567567568</v>
      </c>
      <c r="E11" s="157">
        <v>-38.18181818181819</v>
      </c>
      <c r="F11" s="157">
        <v>-33.3</v>
      </c>
      <c r="G11" s="157">
        <v>-46.7</v>
      </c>
      <c r="H11" s="157">
        <v>-40</v>
      </c>
      <c r="I11" s="157">
        <v>-55.6</v>
      </c>
      <c r="J11" s="157">
        <v>-70</v>
      </c>
      <c r="K11" s="157">
        <v>12.5</v>
      </c>
      <c r="L11" s="239"/>
    </row>
    <row r="12" spans="1:12" s="267" customFormat="1" ht="15" customHeight="1">
      <c r="A12" s="209"/>
      <c r="B12" s="52"/>
      <c r="C12" s="217"/>
      <c r="D12" s="157"/>
      <c r="E12" s="157"/>
      <c r="F12" s="420"/>
      <c r="G12" s="420"/>
      <c r="H12" s="420"/>
      <c r="I12" s="420"/>
      <c r="J12" s="157"/>
      <c r="K12" s="157"/>
      <c r="L12" s="239"/>
    </row>
    <row r="13" spans="1:12" s="9" customFormat="1" ht="15" customHeight="1">
      <c r="A13" s="52" t="s">
        <v>904</v>
      </c>
      <c r="B13" s="52" t="s">
        <v>903</v>
      </c>
      <c r="C13" s="419">
        <v>3825</v>
      </c>
      <c r="D13" s="420">
        <v>3619</v>
      </c>
      <c r="E13" s="420">
        <v>1167</v>
      </c>
      <c r="F13" s="420">
        <v>714</v>
      </c>
      <c r="G13" s="420">
        <v>711</v>
      </c>
      <c r="H13" s="420">
        <v>230</v>
      </c>
      <c r="I13" s="420">
        <v>137</v>
      </c>
      <c r="J13" s="420">
        <v>371</v>
      </c>
      <c r="K13" s="420">
        <v>343</v>
      </c>
      <c r="L13" s="157">
        <v>100</v>
      </c>
    </row>
    <row r="14" spans="1:12" s="9" customFormat="1" ht="15" customHeight="1">
      <c r="A14" s="52"/>
      <c r="B14" s="52" t="s">
        <v>695</v>
      </c>
      <c r="C14" s="217">
        <v>-50.221238938053105</v>
      </c>
      <c r="D14" s="157">
        <v>-5.3856209150326855</v>
      </c>
      <c r="E14" s="157">
        <v>-67.75352307267201</v>
      </c>
      <c r="F14" s="157">
        <v>-10.8</v>
      </c>
      <c r="G14" s="157">
        <v>-60.4</v>
      </c>
      <c r="H14" s="157">
        <v>-67.7</v>
      </c>
      <c r="I14" s="157">
        <v>22.3</v>
      </c>
      <c r="J14" s="157">
        <v>316.85393258426967</v>
      </c>
      <c r="K14" s="157">
        <v>-51.8</v>
      </c>
      <c r="L14" s="153"/>
    </row>
    <row r="15" spans="1:12" s="9" customFormat="1" ht="15" customHeight="1">
      <c r="A15" s="52"/>
      <c r="B15" s="52"/>
      <c r="C15" s="217"/>
      <c r="D15" s="157"/>
      <c r="E15" s="157"/>
      <c r="F15" s="420"/>
      <c r="G15" s="420"/>
      <c r="H15" s="420"/>
      <c r="I15" s="420"/>
      <c r="J15" s="157"/>
      <c r="K15" s="157"/>
      <c r="L15" s="153"/>
    </row>
    <row r="16" spans="1:12" s="9" customFormat="1" ht="15" customHeight="1">
      <c r="A16" s="52" t="s">
        <v>905</v>
      </c>
      <c r="B16" s="52" t="s">
        <v>903</v>
      </c>
      <c r="C16" s="421">
        <v>3308</v>
      </c>
      <c r="D16" s="422">
        <v>3157</v>
      </c>
      <c r="E16" s="422">
        <v>1038</v>
      </c>
      <c r="F16" s="422">
        <v>532</v>
      </c>
      <c r="G16" s="422">
        <v>673</v>
      </c>
      <c r="H16" s="420">
        <v>193</v>
      </c>
      <c r="I16" s="420">
        <v>106</v>
      </c>
      <c r="J16" s="420">
        <v>228</v>
      </c>
      <c r="K16" s="420">
        <v>304</v>
      </c>
      <c r="L16" s="157">
        <v>88.62973760932945</v>
      </c>
    </row>
    <row r="17" spans="1:12" s="9" customFormat="1" ht="15" customHeight="1">
      <c r="A17" s="52"/>
      <c r="B17" s="52" t="s">
        <v>695</v>
      </c>
      <c r="C17" s="217">
        <v>-47.48372757580568</v>
      </c>
      <c r="D17" s="157">
        <v>-4.564691656590081</v>
      </c>
      <c r="E17" s="157">
        <v>-67.12068419385493</v>
      </c>
      <c r="F17" s="423">
        <v>-28</v>
      </c>
      <c r="G17" s="423">
        <v>-57.4</v>
      </c>
      <c r="H17" s="157">
        <v>-69.9</v>
      </c>
      <c r="I17" s="157">
        <v>130.4</v>
      </c>
      <c r="J17" s="157">
        <v>245.45454545454547</v>
      </c>
      <c r="K17" s="157">
        <v>-54.8</v>
      </c>
      <c r="L17" s="153"/>
    </row>
    <row r="18" spans="1:12" s="9" customFormat="1" ht="15" customHeight="1">
      <c r="A18" s="52"/>
      <c r="B18" s="52"/>
      <c r="C18" s="217"/>
      <c r="D18" s="157"/>
      <c r="E18" s="157"/>
      <c r="F18" s="422"/>
      <c r="G18" s="422"/>
      <c r="H18" s="420"/>
      <c r="I18" s="420"/>
      <c r="J18" s="157"/>
      <c r="K18" s="157"/>
      <c r="L18" s="153"/>
    </row>
    <row r="19" spans="1:12" s="9" customFormat="1" ht="15" customHeight="1">
      <c r="A19" s="171" t="s">
        <v>906</v>
      </c>
      <c r="B19" s="52" t="s">
        <v>903</v>
      </c>
      <c r="C19" s="421">
        <v>482</v>
      </c>
      <c r="D19" s="422">
        <v>442</v>
      </c>
      <c r="E19" s="422">
        <v>111</v>
      </c>
      <c r="F19" s="422">
        <v>174</v>
      </c>
      <c r="G19" s="422">
        <v>33</v>
      </c>
      <c r="H19" s="420">
        <v>30</v>
      </c>
      <c r="I19" s="420">
        <v>29</v>
      </c>
      <c r="J19" s="420">
        <v>141</v>
      </c>
      <c r="K19" s="420">
        <v>33</v>
      </c>
      <c r="L19" s="157">
        <v>9.620991253644315</v>
      </c>
    </row>
    <row r="20" spans="1:12" s="9" customFormat="1" ht="15" customHeight="1">
      <c r="A20" s="52"/>
      <c r="B20" s="52" t="s">
        <v>695</v>
      </c>
      <c r="C20" s="217">
        <v>-64.21677802524128</v>
      </c>
      <c r="D20" s="157">
        <v>-8.298755186721996</v>
      </c>
      <c r="E20" s="157">
        <v>-74.8868778280543</v>
      </c>
      <c r="F20" s="423">
        <v>234.6</v>
      </c>
      <c r="G20" s="423">
        <v>-84.3</v>
      </c>
      <c r="H20" s="157">
        <v>-52.4</v>
      </c>
      <c r="I20" s="157">
        <v>-55.4</v>
      </c>
      <c r="J20" s="157">
        <v>642.1052631578948</v>
      </c>
      <c r="K20" s="157" t="s">
        <v>907</v>
      </c>
      <c r="L20" s="153"/>
    </row>
    <row r="21" spans="1:12" s="9" customFormat="1" ht="15" customHeight="1">
      <c r="A21" s="52"/>
      <c r="B21" s="52"/>
      <c r="C21" s="217"/>
      <c r="D21" s="157"/>
      <c r="E21" s="157"/>
      <c r="F21" s="422"/>
      <c r="G21" s="422"/>
      <c r="H21" s="420"/>
      <c r="I21" s="420"/>
      <c r="J21" s="157"/>
      <c r="K21" s="157"/>
      <c r="L21" s="153"/>
    </row>
    <row r="22" spans="1:12" s="9" customFormat="1" ht="15" customHeight="1">
      <c r="A22" s="52" t="s">
        <v>908</v>
      </c>
      <c r="B22" s="52" t="s">
        <v>903</v>
      </c>
      <c r="C22" s="421">
        <v>2</v>
      </c>
      <c r="D22" s="422">
        <v>1</v>
      </c>
      <c r="E22" s="422">
        <v>3</v>
      </c>
      <c r="F22" s="422">
        <v>1</v>
      </c>
      <c r="G22" s="424">
        <v>0</v>
      </c>
      <c r="H22" s="420">
        <v>1</v>
      </c>
      <c r="I22" s="420">
        <v>1</v>
      </c>
      <c r="J22" s="420">
        <v>1</v>
      </c>
      <c r="K22" s="424">
        <v>0</v>
      </c>
      <c r="L22" s="424">
        <v>0</v>
      </c>
    </row>
    <row r="23" spans="1:12" s="9" customFormat="1" ht="15" customHeight="1">
      <c r="A23" s="52"/>
      <c r="B23" s="52" t="s">
        <v>695</v>
      </c>
      <c r="C23" s="217">
        <v>-50</v>
      </c>
      <c r="D23" s="157">
        <v>-50</v>
      </c>
      <c r="E23" s="157">
        <v>200</v>
      </c>
      <c r="F23" s="424" t="s">
        <v>907</v>
      </c>
      <c r="G23" s="425" t="s">
        <v>712</v>
      </c>
      <c r="H23" s="424">
        <v>0</v>
      </c>
      <c r="I23" s="425" t="s">
        <v>712</v>
      </c>
      <c r="J23" s="424">
        <v>0</v>
      </c>
      <c r="K23" s="424" t="s">
        <v>730</v>
      </c>
      <c r="L23" s="153"/>
    </row>
    <row r="24" spans="1:12" s="9" customFormat="1" ht="15" customHeight="1">
      <c r="A24" s="52"/>
      <c r="B24" s="52"/>
      <c r="C24" s="217"/>
      <c r="D24" s="157"/>
      <c r="E24" s="157"/>
      <c r="F24" s="422"/>
      <c r="G24" s="422"/>
      <c r="H24" s="420"/>
      <c r="I24" s="420"/>
      <c r="J24" s="157"/>
      <c r="K24" s="157"/>
      <c r="L24" s="153"/>
    </row>
    <row r="25" spans="1:12" s="9" customFormat="1" ht="15" customHeight="1">
      <c r="A25" s="52" t="s">
        <v>909</v>
      </c>
      <c r="B25" s="52" t="s">
        <v>910</v>
      </c>
      <c r="C25" s="419">
        <v>569.987</v>
      </c>
      <c r="D25" s="420">
        <v>417.225</v>
      </c>
      <c r="E25" s="420">
        <v>202.776</v>
      </c>
      <c r="F25" s="420">
        <v>104.862</v>
      </c>
      <c r="G25" s="420">
        <v>59.348</v>
      </c>
      <c r="H25" s="420">
        <v>62.909</v>
      </c>
      <c r="I25" s="420">
        <v>31.576</v>
      </c>
      <c r="J25" s="420">
        <v>31.651</v>
      </c>
      <c r="K25" s="420">
        <v>73.211</v>
      </c>
      <c r="L25" s="157">
        <v>100</v>
      </c>
    </row>
    <row r="26" spans="1:12" s="9" customFormat="1" ht="15" customHeight="1">
      <c r="A26" s="52"/>
      <c r="B26" s="52" t="s">
        <v>695</v>
      </c>
      <c r="C26" s="217">
        <v>-33.2</v>
      </c>
      <c r="D26" s="157">
        <v>-26.8</v>
      </c>
      <c r="E26" s="157">
        <v>-51.4</v>
      </c>
      <c r="F26" s="157">
        <v>-3.2</v>
      </c>
      <c r="G26" s="157">
        <v>-64.2</v>
      </c>
      <c r="H26" s="157">
        <v>-50.8</v>
      </c>
      <c r="I26" s="157">
        <v>228.3</v>
      </c>
      <c r="J26" s="157">
        <v>-35.3</v>
      </c>
      <c r="K26" s="157">
        <v>23.4</v>
      </c>
      <c r="L26" s="153"/>
    </row>
    <row r="27" spans="1:12" s="9" customFormat="1" ht="15" customHeight="1">
      <c r="A27" s="52"/>
      <c r="B27" s="52"/>
      <c r="C27" s="217"/>
      <c r="D27" s="157"/>
      <c r="E27" s="157"/>
      <c r="F27" s="157"/>
      <c r="G27" s="157"/>
      <c r="H27" s="157"/>
      <c r="I27" s="157"/>
      <c r="J27" s="157"/>
      <c r="K27" s="157"/>
      <c r="L27" s="153"/>
    </row>
    <row r="28" spans="1:12" s="9" customFormat="1" ht="15" customHeight="1">
      <c r="A28" s="52" t="s">
        <v>905</v>
      </c>
      <c r="B28" s="52" t="s">
        <v>910</v>
      </c>
      <c r="C28" s="421">
        <v>382.636</v>
      </c>
      <c r="D28" s="422">
        <v>250.053</v>
      </c>
      <c r="E28" s="422">
        <v>99.071</v>
      </c>
      <c r="F28" s="422">
        <v>45.208</v>
      </c>
      <c r="G28" s="422">
        <v>41.314</v>
      </c>
      <c r="H28" s="422">
        <v>32.87</v>
      </c>
      <c r="I28" s="422">
        <v>20.665</v>
      </c>
      <c r="J28" s="422">
        <v>11.634</v>
      </c>
      <c r="K28" s="422">
        <v>33.574</v>
      </c>
      <c r="L28" s="157">
        <v>45.859228804414634</v>
      </c>
    </row>
    <row r="29" spans="1:12" s="9" customFormat="1" ht="15" customHeight="1">
      <c r="A29" s="52"/>
      <c r="B29" s="52" t="s">
        <v>695</v>
      </c>
      <c r="C29" s="426">
        <v>-24.8</v>
      </c>
      <c r="D29" s="423">
        <v>-34.6</v>
      </c>
      <c r="E29" s="423">
        <v>-60.4</v>
      </c>
      <c r="F29" s="423">
        <v>-0.7</v>
      </c>
      <c r="G29" s="423">
        <v>-65.8</v>
      </c>
      <c r="H29" s="423">
        <v>-16.4</v>
      </c>
      <c r="I29" s="423">
        <v>627.4</v>
      </c>
      <c r="J29" s="157">
        <v>175.6</v>
      </c>
      <c r="K29" s="157">
        <v>-18.7</v>
      </c>
      <c r="L29" s="153"/>
    </row>
    <row r="30" spans="1:12" s="9" customFormat="1" ht="15" customHeight="1">
      <c r="A30" s="52"/>
      <c r="B30" s="52"/>
      <c r="C30" s="217"/>
      <c r="D30" s="157"/>
      <c r="E30" s="157"/>
      <c r="F30" s="422"/>
      <c r="G30" s="422"/>
      <c r="H30" s="420"/>
      <c r="I30" s="420"/>
      <c r="J30" s="157"/>
      <c r="K30" s="157"/>
      <c r="L30" s="153"/>
    </row>
    <row r="31" spans="1:12" s="9" customFormat="1" ht="15" customHeight="1">
      <c r="A31" s="171" t="s">
        <v>906</v>
      </c>
      <c r="B31" s="52" t="s">
        <v>910</v>
      </c>
      <c r="C31" s="421">
        <v>40.284</v>
      </c>
      <c r="D31" s="422">
        <v>97.174</v>
      </c>
      <c r="E31" s="422">
        <v>21.608</v>
      </c>
      <c r="F31" s="422">
        <v>10.035</v>
      </c>
      <c r="G31" s="422">
        <v>4.066</v>
      </c>
      <c r="H31" s="422">
        <v>11.391</v>
      </c>
      <c r="I31" s="422">
        <v>5.012</v>
      </c>
      <c r="J31" s="422">
        <v>6.836</v>
      </c>
      <c r="K31" s="422">
        <v>3.2</v>
      </c>
      <c r="L31" s="157">
        <v>4.370927866031061</v>
      </c>
    </row>
    <row r="32" spans="1:12" s="9" customFormat="1" ht="15" customHeight="1">
      <c r="A32" s="52"/>
      <c r="B32" s="52" t="s">
        <v>695</v>
      </c>
      <c r="C32" s="426">
        <v>-67.7</v>
      </c>
      <c r="D32" s="423">
        <v>141.2</v>
      </c>
      <c r="E32" s="423">
        <v>-77.8</v>
      </c>
      <c r="F32" s="423">
        <v>92.8</v>
      </c>
      <c r="G32" s="423">
        <v>-69.5</v>
      </c>
      <c r="H32" s="423">
        <v>-83.3</v>
      </c>
      <c r="I32" s="423">
        <v>28.5</v>
      </c>
      <c r="J32" s="157">
        <v>500.2</v>
      </c>
      <c r="K32" s="157">
        <v>-21.3</v>
      </c>
      <c r="L32" s="153"/>
    </row>
    <row r="33" spans="1:12" s="9" customFormat="1" ht="15" customHeight="1">
      <c r="A33" s="52"/>
      <c r="B33" s="52"/>
      <c r="C33" s="217"/>
      <c r="D33" s="157"/>
      <c r="E33" s="157"/>
      <c r="F33" s="422"/>
      <c r="G33" s="422"/>
      <c r="H33" s="420"/>
      <c r="I33" s="420"/>
      <c r="J33" s="157"/>
      <c r="K33" s="157"/>
      <c r="L33" s="153"/>
    </row>
    <row r="34" spans="1:12" s="9" customFormat="1" ht="15" customHeight="1">
      <c r="A34" s="52" t="s">
        <v>908</v>
      </c>
      <c r="B34" s="52" t="s">
        <v>910</v>
      </c>
      <c r="C34" s="421">
        <v>26.159</v>
      </c>
      <c r="D34" s="422">
        <v>3.45</v>
      </c>
      <c r="E34" s="422">
        <v>5.795</v>
      </c>
      <c r="F34" s="422">
        <v>2.375</v>
      </c>
      <c r="G34" s="424">
        <v>0</v>
      </c>
      <c r="H34" s="422">
        <v>0.89</v>
      </c>
      <c r="I34" s="422" t="s">
        <v>0</v>
      </c>
      <c r="J34" s="422">
        <v>2.375</v>
      </c>
      <c r="K34" s="424">
        <v>0</v>
      </c>
      <c r="L34" s="424">
        <v>0</v>
      </c>
    </row>
    <row r="35" spans="1:12" s="9" customFormat="1" ht="15" customHeight="1">
      <c r="A35" s="52"/>
      <c r="B35" s="52" t="s">
        <v>695</v>
      </c>
      <c r="C35" s="217">
        <v>-36</v>
      </c>
      <c r="D35" s="157">
        <v>-86.8</v>
      </c>
      <c r="E35" s="157">
        <v>68</v>
      </c>
      <c r="F35" s="157">
        <v>-46.8</v>
      </c>
      <c r="G35" s="425" t="s">
        <v>712</v>
      </c>
      <c r="H35" s="157">
        <v>-74.2</v>
      </c>
      <c r="I35" s="425" t="s">
        <v>712</v>
      </c>
      <c r="J35" s="157">
        <v>-46.8</v>
      </c>
      <c r="K35" s="157" t="s">
        <v>730</v>
      </c>
      <c r="L35" s="153"/>
    </row>
    <row r="36" spans="1:12" s="9" customFormat="1" ht="15" customHeight="1">
      <c r="A36" s="52"/>
      <c r="B36" s="52"/>
      <c r="C36" s="217"/>
      <c r="D36" s="157"/>
      <c r="E36" s="157"/>
      <c r="F36" s="153"/>
      <c r="G36" s="153"/>
      <c r="H36" s="153"/>
      <c r="I36" s="153"/>
      <c r="J36" s="157"/>
      <c r="K36" s="157"/>
      <c r="L36" s="153"/>
    </row>
    <row r="37" spans="1:12" s="267" customFormat="1" ht="15" customHeight="1">
      <c r="A37" s="209" t="s">
        <v>1</v>
      </c>
      <c r="B37" s="52" t="s">
        <v>903</v>
      </c>
      <c r="C37" s="419">
        <v>90</v>
      </c>
      <c r="D37" s="420">
        <v>65</v>
      </c>
      <c r="E37" s="420">
        <v>76</v>
      </c>
      <c r="F37" s="420">
        <v>26</v>
      </c>
      <c r="G37" s="420">
        <v>15</v>
      </c>
      <c r="H37" s="420">
        <v>18</v>
      </c>
      <c r="I37" s="420">
        <v>34</v>
      </c>
      <c r="J37" s="420">
        <v>16</v>
      </c>
      <c r="K37" s="420">
        <v>10</v>
      </c>
      <c r="L37" s="157" t="s">
        <v>730</v>
      </c>
    </row>
    <row r="38" spans="1:12" s="267" customFormat="1" ht="15" customHeight="1">
      <c r="A38" s="209"/>
      <c r="B38" s="52" t="s">
        <v>695</v>
      </c>
      <c r="C38" s="217">
        <v>-16.666666666666664</v>
      </c>
      <c r="D38" s="157">
        <v>-27.77777777777778</v>
      </c>
      <c r="E38" s="157">
        <v>16.92307692307693</v>
      </c>
      <c r="F38" s="157">
        <v>8.3</v>
      </c>
      <c r="G38" s="157">
        <v>-25</v>
      </c>
      <c r="H38" s="157">
        <v>12.5</v>
      </c>
      <c r="I38" s="157">
        <v>240</v>
      </c>
      <c r="J38" s="157">
        <v>77.8</v>
      </c>
      <c r="K38" s="157">
        <v>-33.3</v>
      </c>
      <c r="L38" s="239"/>
    </row>
    <row r="39" spans="1:12" s="267" customFormat="1" ht="15" customHeight="1">
      <c r="A39" s="209"/>
      <c r="B39" s="52"/>
      <c r="C39" s="217"/>
      <c r="D39" s="157"/>
      <c r="E39" s="157"/>
      <c r="F39" s="420"/>
      <c r="G39" s="420"/>
      <c r="H39" s="420"/>
      <c r="I39" s="420"/>
      <c r="J39" s="157"/>
      <c r="K39" s="157"/>
      <c r="L39" s="239"/>
    </row>
    <row r="40" spans="1:12" s="9" customFormat="1" ht="15" customHeight="1">
      <c r="A40" s="52" t="s">
        <v>904</v>
      </c>
      <c r="B40" s="52" t="s">
        <v>903</v>
      </c>
      <c r="C40" s="427">
        <v>8321</v>
      </c>
      <c r="D40" s="173">
        <v>5389</v>
      </c>
      <c r="E40" s="173">
        <v>3146</v>
      </c>
      <c r="F40" s="173">
        <v>1242</v>
      </c>
      <c r="G40" s="173">
        <v>212</v>
      </c>
      <c r="H40" s="173">
        <v>1266</v>
      </c>
      <c r="I40" s="173">
        <v>1330</v>
      </c>
      <c r="J40" s="173">
        <v>1008</v>
      </c>
      <c r="K40" s="173">
        <v>234</v>
      </c>
      <c r="L40" s="157">
        <v>100</v>
      </c>
    </row>
    <row r="41" spans="1:12" s="9" customFormat="1" ht="15" customHeight="1">
      <c r="A41" s="52"/>
      <c r="B41" s="52" t="s">
        <v>695</v>
      </c>
      <c r="C41" s="217">
        <v>-8.520228671943709</v>
      </c>
      <c r="D41" s="157">
        <v>-35.23614950126187</v>
      </c>
      <c r="E41" s="30">
        <v>-41.621822230469476</v>
      </c>
      <c r="F41" s="428">
        <v>125.8</v>
      </c>
      <c r="G41" s="429">
        <v>-87.2</v>
      </c>
      <c r="H41" s="429">
        <v>161.6</v>
      </c>
      <c r="I41" s="429">
        <v>38.7</v>
      </c>
      <c r="J41" s="30">
        <v>198.22485207100593</v>
      </c>
      <c r="K41" s="30">
        <v>10.4</v>
      </c>
      <c r="L41" s="153"/>
    </row>
    <row r="42" spans="1:12" s="9" customFormat="1" ht="15" customHeight="1">
      <c r="A42" s="52"/>
      <c r="B42" s="52"/>
      <c r="C42" s="217"/>
      <c r="D42" s="157"/>
      <c r="E42" s="157"/>
      <c r="F42" s="173"/>
      <c r="G42" s="173"/>
      <c r="H42" s="173"/>
      <c r="I42" s="173"/>
      <c r="J42" s="157"/>
      <c r="K42" s="157"/>
      <c r="L42" s="153"/>
    </row>
    <row r="43" spans="1:12" s="9" customFormat="1" ht="15" customHeight="1">
      <c r="A43" s="52" t="s">
        <v>2</v>
      </c>
      <c r="B43" s="52" t="s">
        <v>3</v>
      </c>
      <c r="C43" s="427">
        <v>6695</v>
      </c>
      <c r="D43" s="173">
        <v>4252</v>
      </c>
      <c r="E43" s="173">
        <v>2747</v>
      </c>
      <c r="F43" s="173">
        <v>938</v>
      </c>
      <c r="G43" s="173">
        <v>169</v>
      </c>
      <c r="H43" s="173">
        <v>1057</v>
      </c>
      <c r="I43" s="173">
        <v>1234</v>
      </c>
      <c r="J43" s="173">
        <v>735</v>
      </c>
      <c r="K43" s="173">
        <v>203</v>
      </c>
      <c r="L43" s="157">
        <v>86.75213675213675</v>
      </c>
    </row>
    <row r="44" spans="1:12" s="9" customFormat="1" ht="15" customHeight="1">
      <c r="A44" s="52"/>
      <c r="B44" s="52" t="s">
        <v>4</v>
      </c>
      <c r="C44" s="29">
        <v>8.140849620416724</v>
      </c>
      <c r="D44" s="30">
        <v>-36.48991784914115</v>
      </c>
      <c r="E44" s="30">
        <v>-35.395108184383815</v>
      </c>
      <c r="F44" s="30">
        <v>105.7</v>
      </c>
      <c r="G44" s="30">
        <v>-85.8</v>
      </c>
      <c r="H44" s="30">
        <v>139.7</v>
      </c>
      <c r="I44" s="30">
        <v>57.2</v>
      </c>
      <c r="J44" s="30">
        <v>156.09756097560975</v>
      </c>
      <c r="K44" s="30">
        <v>20.1</v>
      </c>
      <c r="L44" s="153"/>
    </row>
    <row r="45" spans="1:12" s="9" customFormat="1" ht="15" customHeight="1">
      <c r="A45" s="52"/>
      <c r="B45" s="52"/>
      <c r="C45" s="217"/>
      <c r="D45" s="157"/>
      <c r="E45" s="157"/>
      <c r="F45" s="173"/>
      <c r="G45" s="173"/>
      <c r="H45" s="173"/>
      <c r="I45" s="173"/>
      <c r="J45" s="157"/>
      <c r="K45" s="157"/>
      <c r="L45" s="153"/>
    </row>
    <row r="46" spans="1:12" s="9" customFormat="1" ht="15" customHeight="1">
      <c r="A46" s="171" t="s">
        <v>5</v>
      </c>
      <c r="B46" s="52" t="s">
        <v>3</v>
      </c>
      <c r="C46" s="427">
        <v>1562</v>
      </c>
      <c r="D46" s="173">
        <v>1085</v>
      </c>
      <c r="E46" s="173">
        <v>368</v>
      </c>
      <c r="F46" s="173">
        <v>282</v>
      </c>
      <c r="G46" s="173">
        <v>36</v>
      </c>
      <c r="H46" s="173">
        <v>207</v>
      </c>
      <c r="I46" s="173">
        <v>76</v>
      </c>
      <c r="J46" s="173">
        <v>261</v>
      </c>
      <c r="K46" s="173">
        <v>21</v>
      </c>
      <c r="L46" s="157">
        <v>8.974358974358974</v>
      </c>
    </row>
    <row r="47" spans="1:12" s="9" customFormat="1" ht="15" customHeight="1">
      <c r="A47" s="52"/>
      <c r="B47" s="52" t="s">
        <v>4</v>
      </c>
      <c r="C47" s="217">
        <v>-38.503937007874015</v>
      </c>
      <c r="D47" s="157">
        <v>-30.53777208706786</v>
      </c>
      <c r="E47" s="157">
        <v>-66.08294930875576</v>
      </c>
      <c r="F47" s="157">
        <v>231.8</v>
      </c>
      <c r="G47" s="157">
        <v>-92.1</v>
      </c>
      <c r="H47" s="157">
        <v>840.9</v>
      </c>
      <c r="I47" s="157">
        <v>-54.2</v>
      </c>
      <c r="J47" s="157">
        <v>432.7</v>
      </c>
      <c r="K47" s="157">
        <v>-41.7</v>
      </c>
      <c r="L47" s="153"/>
    </row>
    <row r="48" spans="1:12" s="9" customFormat="1" ht="15" customHeight="1">
      <c r="A48" s="52"/>
      <c r="B48" s="52"/>
      <c r="C48" s="217"/>
      <c r="D48" s="157"/>
      <c r="E48" s="157"/>
      <c r="F48" s="173"/>
      <c r="G48" s="173"/>
      <c r="H48" s="173"/>
      <c r="I48" s="173"/>
      <c r="J48" s="157"/>
      <c r="K48" s="157"/>
      <c r="L48" s="153"/>
    </row>
    <row r="49" spans="1:12" s="9" customFormat="1" ht="15" customHeight="1">
      <c r="A49" s="52" t="s">
        <v>6</v>
      </c>
      <c r="B49" s="52" t="s">
        <v>3</v>
      </c>
      <c r="C49" s="427">
        <v>4</v>
      </c>
      <c r="D49" s="173">
        <v>2</v>
      </c>
      <c r="E49" s="424">
        <v>0</v>
      </c>
      <c r="F49" s="424">
        <v>0</v>
      </c>
      <c r="G49" s="424">
        <v>0</v>
      </c>
      <c r="H49" s="424">
        <v>0</v>
      </c>
      <c r="I49" s="424">
        <v>0</v>
      </c>
      <c r="J49" s="424">
        <v>0</v>
      </c>
      <c r="K49" s="424">
        <v>0</v>
      </c>
      <c r="L49" s="424">
        <v>0</v>
      </c>
    </row>
    <row r="50" spans="1:12" s="9" customFormat="1" ht="15" customHeight="1">
      <c r="A50" s="52"/>
      <c r="B50" s="52" t="s">
        <v>4</v>
      </c>
      <c r="C50" s="430" t="s">
        <v>7</v>
      </c>
      <c r="D50" s="157">
        <v>-50</v>
      </c>
      <c r="E50" s="157">
        <v>-100</v>
      </c>
      <c r="F50" s="423" t="s">
        <v>8</v>
      </c>
      <c r="G50" s="425" t="s">
        <v>7</v>
      </c>
      <c r="H50" s="425" t="s">
        <v>7</v>
      </c>
      <c r="I50" s="425" t="s">
        <v>7</v>
      </c>
      <c r="J50" s="425" t="s">
        <v>7</v>
      </c>
      <c r="K50" s="423" t="s">
        <v>8</v>
      </c>
      <c r="L50" s="153"/>
    </row>
    <row r="51" spans="1:12" s="9" customFormat="1" ht="15" customHeight="1">
      <c r="A51" s="52"/>
      <c r="B51" s="52"/>
      <c r="C51" s="217"/>
      <c r="D51" s="157"/>
      <c r="E51" s="157"/>
      <c r="F51" s="173"/>
      <c r="G51" s="173"/>
      <c r="H51" s="173"/>
      <c r="I51" s="173"/>
      <c r="J51" s="157"/>
      <c r="K51" s="157"/>
      <c r="L51" s="153"/>
    </row>
    <row r="52" spans="1:12" s="9" customFormat="1" ht="15" customHeight="1">
      <c r="A52" s="52" t="s">
        <v>9</v>
      </c>
      <c r="B52" s="52" t="s">
        <v>10</v>
      </c>
      <c r="C52" s="419">
        <v>969.192</v>
      </c>
      <c r="D52" s="420">
        <v>668.778</v>
      </c>
      <c r="E52" s="420">
        <v>370.315</v>
      </c>
      <c r="F52" s="420">
        <v>219.256</v>
      </c>
      <c r="G52" s="420">
        <v>51.972</v>
      </c>
      <c r="H52" s="420">
        <v>126.235</v>
      </c>
      <c r="I52" s="420">
        <v>162.74</v>
      </c>
      <c r="J52" s="420">
        <v>171.068</v>
      </c>
      <c r="K52" s="420">
        <v>48.188</v>
      </c>
      <c r="L52" s="157">
        <v>100</v>
      </c>
    </row>
    <row r="53" spans="1:12" s="9" customFormat="1" ht="15" customHeight="1">
      <c r="A53" s="52"/>
      <c r="B53" s="52" t="s">
        <v>4</v>
      </c>
      <c r="C53" s="217">
        <v>-15.7</v>
      </c>
      <c r="D53" s="157">
        <v>-31</v>
      </c>
      <c r="E53" s="157">
        <v>-44.6</v>
      </c>
      <c r="F53" s="157">
        <v>169.6</v>
      </c>
      <c r="G53" s="157">
        <v>-65.9</v>
      </c>
      <c r="H53" s="157">
        <v>6.7</v>
      </c>
      <c r="I53" s="157">
        <v>-2.6</v>
      </c>
      <c r="J53" s="157">
        <v>482.5</v>
      </c>
      <c r="K53" s="157">
        <v>-7.3</v>
      </c>
      <c r="L53" s="153"/>
    </row>
    <row r="54" spans="1:12" s="9" customFormat="1" ht="15" customHeight="1">
      <c r="A54" s="52"/>
      <c r="B54" s="52"/>
      <c r="C54" s="217"/>
      <c r="D54" s="157"/>
      <c r="E54" s="157"/>
      <c r="F54" s="157"/>
      <c r="G54" s="157"/>
      <c r="H54" s="157"/>
      <c r="I54" s="157"/>
      <c r="J54" s="157"/>
      <c r="K54" s="157"/>
      <c r="L54" s="153"/>
    </row>
    <row r="55" spans="1:12" s="9" customFormat="1" ht="15" customHeight="1">
      <c r="A55" s="52" t="s">
        <v>2</v>
      </c>
      <c r="B55" s="52" t="s">
        <v>10</v>
      </c>
      <c r="C55" s="421">
        <v>559.544</v>
      </c>
      <c r="D55" s="422">
        <v>307.738</v>
      </c>
      <c r="E55" s="422">
        <v>230.09</v>
      </c>
      <c r="F55" s="420">
        <v>89.043</v>
      </c>
      <c r="G55" s="422">
        <v>16.71</v>
      </c>
      <c r="H55" s="422">
        <v>89.502</v>
      </c>
      <c r="I55" s="422">
        <v>104.384</v>
      </c>
      <c r="J55" s="422">
        <v>68.551</v>
      </c>
      <c r="K55" s="422">
        <v>20.492</v>
      </c>
      <c r="L55" s="157">
        <v>42.525109985888605</v>
      </c>
    </row>
    <row r="56" spans="1:12" s="9" customFormat="1" ht="15" customHeight="1">
      <c r="A56" s="52"/>
      <c r="B56" s="52" t="s">
        <v>4</v>
      </c>
      <c r="C56" s="426">
        <v>-3</v>
      </c>
      <c r="D56" s="423">
        <v>-45</v>
      </c>
      <c r="E56" s="423">
        <v>-25.2</v>
      </c>
      <c r="F56" s="157">
        <v>146</v>
      </c>
      <c r="G56" s="423">
        <v>-74.7</v>
      </c>
      <c r="H56" s="423">
        <v>77.7</v>
      </c>
      <c r="I56" s="423">
        <v>66.1</v>
      </c>
      <c r="J56" s="423">
        <v>251.7</v>
      </c>
      <c r="K56" s="423">
        <v>22.6</v>
      </c>
      <c r="L56" s="153"/>
    </row>
    <row r="57" spans="1:12" s="9" customFormat="1" ht="15" customHeight="1">
      <c r="A57" s="52"/>
      <c r="B57" s="52"/>
      <c r="C57" s="217"/>
      <c r="D57" s="157"/>
      <c r="E57" s="157"/>
      <c r="F57" s="422"/>
      <c r="G57" s="422"/>
      <c r="H57" s="420"/>
      <c r="I57" s="420"/>
      <c r="J57" s="157"/>
      <c r="K57" s="157"/>
      <c r="L57" s="153"/>
    </row>
    <row r="58" spans="1:12" s="9" customFormat="1" ht="15" customHeight="1">
      <c r="A58" s="171" t="s">
        <v>5</v>
      </c>
      <c r="B58" s="52" t="s">
        <v>10</v>
      </c>
      <c r="C58" s="421">
        <v>174.579</v>
      </c>
      <c r="D58" s="422">
        <v>128.576</v>
      </c>
      <c r="E58" s="422">
        <v>54.809</v>
      </c>
      <c r="F58" s="420">
        <v>50.063</v>
      </c>
      <c r="G58" s="422">
        <v>3.977</v>
      </c>
      <c r="H58" s="420">
        <v>15.992</v>
      </c>
      <c r="I58" s="420">
        <v>30.395</v>
      </c>
      <c r="J58" s="420">
        <v>44.439</v>
      </c>
      <c r="K58" s="420">
        <v>5.624</v>
      </c>
      <c r="L58" s="157">
        <v>11.670955424587033</v>
      </c>
    </row>
    <row r="59" spans="1:12" s="9" customFormat="1" ht="15" customHeight="1">
      <c r="A59" s="52"/>
      <c r="B59" s="52" t="s">
        <v>4</v>
      </c>
      <c r="C59" s="426">
        <v>-52</v>
      </c>
      <c r="D59" s="423">
        <v>-26.4</v>
      </c>
      <c r="E59" s="423">
        <v>-57.4</v>
      </c>
      <c r="F59" s="157">
        <v>494.5</v>
      </c>
      <c r="G59" s="423">
        <v>-92.2</v>
      </c>
      <c r="H59" s="157">
        <v>299.2</v>
      </c>
      <c r="I59" s="157">
        <v>-11.6</v>
      </c>
      <c r="J59" s="157">
        <v>900</v>
      </c>
      <c r="K59" s="157">
        <v>41.4</v>
      </c>
      <c r="L59" s="153"/>
    </row>
    <row r="60" spans="1:12" s="9" customFormat="1" ht="15" customHeight="1">
      <c r="A60" s="52"/>
      <c r="B60" s="52"/>
      <c r="C60" s="217"/>
      <c r="D60" s="157"/>
      <c r="E60" s="157"/>
      <c r="F60" s="422"/>
      <c r="G60" s="422"/>
      <c r="H60" s="420"/>
      <c r="I60" s="420"/>
      <c r="J60" s="157"/>
      <c r="K60" s="157"/>
      <c r="L60" s="153"/>
    </row>
    <row r="61" spans="1:12" s="9" customFormat="1" ht="15" customHeight="1">
      <c r="A61" s="52" t="s">
        <v>11</v>
      </c>
      <c r="B61" s="52" t="s">
        <v>10</v>
      </c>
      <c r="C61" s="421">
        <v>39.588</v>
      </c>
      <c r="D61" s="422">
        <v>33.939</v>
      </c>
      <c r="E61" s="424">
        <v>0</v>
      </c>
      <c r="F61" s="424">
        <v>0</v>
      </c>
      <c r="G61" s="424">
        <v>0</v>
      </c>
      <c r="H61" s="424">
        <v>0</v>
      </c>
      <c r="I61" s="424">
        <v>0</v>
      </c>
      <c r="J61" s="424">
        <v>0</v>
      </c>
      <c r="K61" s="424">
        <v>0</v>
      </c>
      <c r="L61" s="424">
        <v>0</v>
      </c>
    </row>
    <row r="62" spans="1:12" s="9" customFormat="1" ht="15" customHeight="1">
      <c r="A62" s="52"/>
      <c r="B62" s="52" t="s">
        <v>4</v>
      </c>
      <c r="C62" s="430" t="s">
        <v>7</v>
      </c>
      <c r="D62" s="423">
        <v>-14.3</v>
      </c>
      <c r="E62" s="423">
        <v>-100</v>
      </c>
      <c r="F62" s="423" t="s">
        <v>8</v>
      </c>
      <c r="G62" s="425" t="s">
        <v>7</v>
      </c>
      <c r="H62" s="425" t="s">
        <v>7</v>
      </c>
      <c r="I62" s="425" t="s">
        <v>7</v>
      </c>
      <c r="J62" s="425" t="s">
        <v>7</v>
      </c>
      <c r="K62" s="423" t="s">
        <v>8</v>
      </c>
      <c r="L62" s="153"/>
    </row>
    <row r="63" spans="1:12" ht="9.75" customHeight="1">
      <c r="A63" s="131"/>
      <c r="B63" s="417"/>
      <c r="C63" s="160"/>
      <c r="D63" s="160"/>
      <c r="E63" s="160"/>
      <c r="F63" s="160"/>
      <c r="G63" s="160"/>
      <c r="H63" s="160"/>
      <c r="I63" s="160"/>
      <c r="J63" s="160"/>
      <c r="K63" s="160"/>
      <c r="L63" s="34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L69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2.875" style="24" customWidth="1"/>
    <col min="2" max="2" width="10.75390625" style="24" customWidth="1"/>
    <col min="3" max="11" width="7.625" style="24" customWidth="1"/>
    <col min="12" max="12" width="8.375" style="24" customWidth="1"/>
    <col min="13" max="16384" width="9.00390625" style="24" customWidth="1"/>
  </cols>
  <sheetData>
    <row r="1" spans="1:11" s="9" customFormat="1" ht="15" customHeight="1">
      <c r="A1" s="1" t="s">
        <v>900</v>
      </c>
      <c r="B1" s="407"/>
      <c r="C1" s="8"/>
      <c r="G1" s="8"/>
      <c r="K1" s="8"/>
    </row>
    <row r="2" spans="1:11" s="9" customFormat="1" ht="15" customHeight="1">
      <c r="A2" s="4"/>
      <c r="B2" s="407"/>
      <c r="C2" s="8"/>
      <c r="G2" s="8"/>
      <c r="K2" s="8"/>
    </row>
    <row r="3" spans="1:11" s="9" customFormat="1" ht="15" customHeight="1">
      <c r="A3" s="4"/>
      <c r="B3" s="407"/>
      <c r="C3" s="8"/>
      <c r="G3" s="8"/>
      <c r="K3" s="8"/>
    </row>
    <row r="4" spans="1:11" s="9" customFormat="1" ht="15" customHeight="1">
      <c r="A4" s="2" t="s">
        <v>12</v>
      </c>
      <c r="B4" s="407"/>
      <c r="C4" s="8"/>
      <c r="G4" s="8"/>
      <c r="K4" s="8"/>
    </row>
    <row r="5" spans="1:12" s="9" customFormat="1" ht="15" customHeight="1">
      <c r="A5" s="52"/>
      <c r="B5" s="52"/>
      <c r="C5" s="8"/>
      <c r="G5" s="8"/>
      <c r="K5" s="8"/>
      <c r="L5" s="187"/>
    </row>
    <row r="6" spans="1:12" s="9" customFormat="1" ht="15" customHeight="1">
      <c r="A6" s="132"/>
      <c r="B6" s="132"/>
      <c r="C6" s="566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2">
        <v>2001</v>
      </c>
      <c r="L6" s="201"/>
    </row>
    <row r="7" spans="1:12" s="9" customFormat="1" ht="15" customHeight="1">
      <c r="A7" s="143"/>
      <c r="B7" s="143"/>
      <c r="C7" s="572"/>
      <c r="D7" s="573"/>
      <c r="E7" s="573"/>
      <c r="F7" s="138" t="s">
        <v>13</v>
      </c>
      <c r="G7" s="139" t="s">
        <v>14</v>
      </c>
      <c r="H7" s="139" t="s">
        <v>15</v>
      </c>
      <c r="I7" s="139" t="s">
        <v>16</v>
      </c>
      <c r="J7" s="139" t="s">
        <v>17</v>
      </c>
      <c r="K7" s="140" t="s">
        <v>14</v>
      </c>
      <c r="L7" s="418" t="s">
        <v>18</v>
      </c>
    </row>
    <row r="8" spans="1:12" s="9" customFormat="1" ht="15" customHeight="1">
      <c r="A8" s="141"/>
      <c r="B8" s="141"/>
      <c r="C8" s="567"/>
      <c r="D8" s="569"/>
      <c r="E8" s="569"/>
      <c r="F8" s="142" t="s">
        <v>14</v>
      </c>
      <c r="G8" s="19"/>
      <c r="H8" s="19"/>
      <c r="I8" s="19"/>
      <c r="J8" s="19"/>
      <c r="K8" s="19"/>
      <c r="L8" s="233"/>
    </row>
    <row r="9" spans="1:12" s="9" customFormat="1" ht="9.75" customHeight="1">
      <c r="A9" s="52"/>
      <c r="B9" s="26"/>
      <c r="F9" s="192"/>
      <c r="G9" s="431"/>
      <c r="H9" s="432"/>
      <c r="I9" s="432"/>
      <c r="J9" s="432"/>
      <c r="K9" s="432"/>
      <c r="L9" s="192"/>
    </row>
    <row r="10" spans="1:12" s="267" customFormat="1" ht="15" customHeight="1">
      <c r="A10" s="216" t="s">
        <v>19</v>
      </c>
      <c r="B10" s="26"/>
      <c r="D10" s="368"/>
      <c r="E10" s="368"/>
      <c r="F10" s="368"/>
      <c r="G10" s="368"/>
      <c r="H10" s="368"/>
      <c r="I10" s="368"/>
      <c r="J10" s="166"/>
      <c r="K10" s="166"/>
      <c r="L10" s="166"/>
    </row>
    <row r="11" spans="1:12" s="3" customFormat="1" ht="15" customHeight="1">
      <c r="A11" s="52" t="s">
        <v>20</v>
      </c>
      <c r="B11" s="344" t="s">
        <v>21</v>
      </c>
      <c r="C11" s="420">
        <v>6605.329</v>
      </c>
      <c r="D11" s="420">
        <v>5928.131</v>
      </c>
      <c r="E11" s="420">
        <v>5758.672</v>
      </c>
      <c r="F11" s="420">
        <v>2734</v>
      </c>
      <c r="G11" s="420">
        <v>1694.508</v>
      </c>
      <c r="H11" s="420">
        <v>1212.476</v>
      </c>
      <c r="I11" s="420">
        <v>1236.426</v>
      </c>
      <c r="J11" s="420">
        <v>1631.302</v>
      </c>
      <c r="K11" s="420">
        <v>1102.491</v>
      </c>
      <c r="L11" s="30" t="s">
        <v>22</v>
      </c>
    </row>
    <row r="12" spans="1:12" s="3" customFormat="1" ht="15" customHeight="1">
      <c r="A12" s="8"/>
      <c r="B12" s="26" t="s">
        <v>23</v>
      </c>
      <c r="C12" s="167">
        <v>-12.1</v>
      </c>
      <c r="D12" s="167">
        <v>-10.3</v>
      </c>
      <c r="E12" s="167">
        <v>-2.9</v>
      </c>
      <c r="F12" s="412">
        <v>-17.4</v>
      </c>
      <c r="G12" s="167">
        <v>5.7</v>
      </c>
      <c r="H12" s="167">
        <v>-23.1</v>
      </c>
      <c r="I12" s="167">
        <v>-5.6</v>
      </c>
      <c r="J12" s="167">
        <v>1</v>
      </c>
      <c r="K12" s="167">
        <v>-34.9</v>
      </c>
      <c r="L12" s="30"/>
    </row>
    <row r="13" spans="1:12" s="3" customFormat="1" ht="15" customHeight="1">
      <c r="A13" s="8"/>
      <c r="B13" s="26"/>
      <c r="C13" s="413"/>
      <c r="D13" s="433"/>
      <c r="E13" s="433"/>
      <c r="F13" s="420"/>
      <c r="G13" s="433"/>
      <c r="H13" s="433"/>
      <c r="I13" s="433"/>
      <c r="J13" s="433"/>
      <c r="K13" s="433"/>
      <c r="L13" s="30"/>
    </row>
    <row r="14" spans="1:12" s="267" customFormat="1" ht="15" customHeight="1">
      <c r="A14" s="52" t="s">
        <v>24</v>
      </c>
      <c r="B14" s="434" t="s">
        <v>25</v>
      </c>
      <c r="C14" s="420">
        <v>12776</v>
      </c>
      <c r="D14" s="420">
        <v>11039</v>
      </c>
      <c r="E14" s="420">
        <v>10211</v>
      </c>
      <c r="F14" s="420">
        <v>4209</v>
      </c>
      <c r="G14" s="420">
        <v>2736</v>
      </c>
      <c r="H14" s="420">
        <v>2249</v>
      </c>
      <c r="I14" s="420">
        <v>2241</v>
      </c>
      <c r="J14" s="420">
        <v>2371</v>
      </c>
      <c r="K14" s="420">
        <v>1838</v>
      </c>
      <c r="L14" s="30">
        <v>100</v>
      </c>
    </row>
    <row r="15" spans="1:12" s="267" customFormat="1" ht="15" customHeight="1">
      <c r="A15" s="8"/>
      <c r="B15" s="344" t="s">
        <v>23</v>
      </c>
      <c r="C15" s="167">
        <v>-10.7</v>
      </c>
      <c r="D15" s="167">
        <v>-13.6</v>
      </c>
      <c r="E15" s="167">
        <v>-7.5</v>
      </c>
      <c r="F15" s="167">
        <v>-26.4</v>
      </c>
      <c r="G15" s="167">
        <v>-19.4</v>
      </c>
      <c r="H15" s="167">
        <v>-16.1</v>
      </c>
      <c r="I15" s="167">
        <v>3.8</v>
      </c>
      <c r="J15" s="167">
        <v>-20.6</v>
      </c>
      <c r="K15" s="167">
        <v>-32.8</v>
      </c>
      <c r="L15" s="30"/>
    </row>
    <row r="16" spans="1:12" s="267" customFormat="1" ht="15" customHeight="1">
      <c r="A16" s="8"/>
      <c r="B16" s="344"/>
      <c r="C16" s="435"/>
      <c r="D16" s="420"/>
      <c r="E16" s="420"/>
      <c r="F16" s="420"/>
      <c r="G16" s="420"/>
      <c r="H16" s="420"/>
      <c r="I16" s="420"/>
      <c r="J16" s="239"/>
      <c r="K16" s="239"/>
      <c r="L16" s="30"/>
    </row>
    <row r="17" spans="1:12" s="9" customFormat="1" ht="15" customHeight="1">
      <c r="A17" s="52" t="s">
        <v>26</v>
      </c>
      <c r="B17" s="26" t="s">
        <v>25</v>
      </c>
      <c r="C17" s="420">
        <v>11357</v>
      </c>
      <c r="D17" s="420">
        <v>9857</v>
      </c>
      <c r="E17" s="420">
        <v>9024</v>
      </c>
      <c r="F17" s="420">
        <v>3796</v>
      </c>
      <c r="G17" s="420">
        <v>2238</v>
      </c>
      <c r="H17" s="420">
        <v>2048</v>
      </c>
      <c r="I17" s="420">
        <v>1973</v>
      </c>
      <c r="J17" s="420">
        <v>2145</v>
      </c>
      <c r="K17" s="420">
        <v>1651</v>
      </c>
      <c r="L17" s="30">
        <v>89.8</v>
      </c>
    </row>
    <row r="18" spans="1:12" s="9" customFormat="1" ht="15" customHeight="1">
      <c r="A18" s="52"/>
      <c r="B18" s="26" t="s">
        <v>23</v>
      </c>
      <c r="C18" s="167">
        <v>-11</v>
      </c>
      <c r="D18" s="167">
        <v>-13.2</v>
      </c>
      <c r="E18" s="167">
        <v>-8.5</v>
      </c>
      <c r="F18" s="167">
        <v>-24.1</v>
      </c>
      <c r="G18" s="167">
        <v>-25.6</v>
      </c>
      <c r="H18" s="167">
        <v>-13.4</v>
      </c>
      <c r="I18" s="167">
        <v>2.3</v>
      </c>
      <c r="J18" s="167">
        <v>-22.4</v>
      </c>
      <c r="K18" s="167">
        <v>-26.2</v>
      </c>
      <c r="L18" s="30"/>
    </row>
    <row r="19" spans="1:12" s="9" customFormat="1" ht="15" customHeight="1">
      <c r="A19" s="52"/>
      <c r="B19" s="26"/>
      <c r="C19" s="152"/>
      <c r="D19" s="420"/>
      <c r="E19" s="420"/>
      <c r="F19" s="420"/>
      <c r="G19" s="420"/>
      <c r="H19" s="420"/>
      <c r="I19" s="420"/>
      <c r="J19" s="153"/>
      <c r="K19" s="153"/>
      <c r="L19" s="30"/>
    </row>
    <row r="20" spans="1:12" s="9" customFormat="1" ht="15" customHeight="1">
      <c r="A20" s="171" t="s">
        <v>27</v>
      </c>
      <c r="B20" s="26" t="s">
        <v>25</v>
      </c>
      <c r="C20" s="420">
        <v>1210</v>
      </c>
      <c r="D20" s="420">
        <v>1027</v>
      </c>
      <c r="E20" s="420">
        <v>1003</v>
      </c>
      <c r="F20" s="420">
        <v>352</v>
      </c>
      <c r="G20" s="420">
        <v>440</v>
      </c>
      <c r="H20" s="420">
        <v>159</v>
      </c>
      <c r="I20" s="420">
        <v>222</v>
      </c>
      <c r="J20" s="420">
        <v>198</v>
      </c>
      <c r="K20" s="420">
        <v>154</v>
      </c>
      <c r="L20" s="30">
        <v>8.4</v>
      </c>
    </row>
    <row r="21" spans="1:12" s="9" customFormat="1" ht="15" customHeight="1">
      <c r="A21" s="52"/>
      <c r="B21" s="26" t="s">
        <v>23</v>
      </c>
      <c r="C21" s="167">
        <v>0.2</v>
      </c>
      <c r="D21" s="167">
        <v>-15.1</v>
      </c>
      <c r="E21" s="167">
        <v>-2.3</v>
      </c>
      <c r="F21" s="167">
        <v>-43.4</v>
      </c>
      <c r="G21" s="167">
        <v>20.9</v>
      </c>
      <c r="H21" s="167">
        <v>-41.8</v>
      </c>
      <c r="I21" s="167">
        <v>20</v>
      </c>
      <c r="J21" s="167">
        <v>8.8</v>
      </c>
      <c r="K21" s="167">
        <v>-65</v>
      </c>
      <c r="L21" s="30"/>
    </row>
    <row r="22" spans="1:12" s="9" customFormat="1" ht="15" customHeight="1">
      <c r="A22" s="52"/>
      <c r="B22" s="26"/>
      <c r="C22" s="152"/>
      <c r="D22" s="420"/>
      <c r="E22" s="420"/>
      <c r="F22" s="420"/>
      <c r="G22" s="420"/>
      <c r="H22" s="420"/>
      <c r="I22" s="420"/>
      <c r="J22" s="153"/>
      <c r="K22" s="153"/>
      <c r="L22" s="30"/>
    </row>
    <row r="23" spans="1:12" s="9" customFormat="1" ht="15" customHeight="1">
      <c r="A23" s="52" t="s">
        <v>28</v>
      </c>
      <c r="B23" s="26" t="s">
        <v>25</v>
      </c>
      <c r="C23" s="420">
        <v>203</v>
      </c>
      <c r="D23" s="420">
        <v>136</v>
      </c>
      <c r="E23" s="420">
        <v>133</v>
      </c>
      <c r="F23" s="420">
        <v>39</v>
      </c>
      <c r="G23" s="420">
        <v>46</v>
      </c>
      <c r="H23" s="420">
        <v>35</v>
      </c>
      <c r="I23" s="420">
        <v>22</v>
      </c>
      <c r="J23" s="420">
        <v>14</v>
      </c>
      <c r="K23" s="420">
        <v>25</v>
      </c>
      <c r="L23" s="30">
        <v>1.4</v>
      </c>
    </row>
    <row r="24" spans="1:12" s="9" customFormat="1" ht="15" customHeight="1">
      <c r="A24" s="52"/>
      <c r="B24" s="26" t="s">
        <v>23</v>
      </c>
      <c r="C24" s="167">
        <v>-28.5</v>
      </c>
      <c r="D24" s="167">
        <v>-33</v>
      </c>
      <c r="E24" s="167">
        <v>-2.2</v>
      </c>
      <c r="F24" s="167">
        <v>-48.7</v>
      </c>
      <c r="G24" s="412">
        <v>119</v>
      </c>
      <c r="H24" s="436">
        <v>0</v>
      </c>
      <c r="I24" s="167">
        <v>-37.1</v>
      </c>
      <c r="J24" s="167">
        <v>-53.3</v>
      </c>
      <c r="K24" s="167">
        <v>-45.7</v>
      </c>
      <c r="L24" s="30"/>
    </row>
    <row r="25" spans="1:12" s="9" customFormat="1" ht="15" customHeight="1">
      <c r="A25" s="52"/>
      <c r="B25" s="26"/>
      <c r="C25" s="152"/>
      <c r="D25" s="420"/>
      <c r="E25" s="420"/>
      <c r="F25" s="153"/>
      <c r="G25" s="420"/>
      <c r="H25" s="420"/>
      <c r="I25" s="420"/>
      <c r="J25" s="153"/>
      <c r="K25" s="153"/>
      <c r="L25" s="30"/>
    </row>
    <row r="26" spans="1:12" s="267" customFormat="1" ht="15" customHeight="1">
      <c r="A26" s="216" t="s">
        <v>29</v>
      </c>
      <c r="B26" s="437"/>
      <c r="C26" s="435"/>
      <c r="D26" s="420"/>
      <c r="E26" s="420"/>
      <c r="F26" s="420"/>
      <c r="G26" s="420"/>
      <c r="H26" s="420"/>
      <c r="I26" s="420"/>
      <c r="J26" s="239"/>
      <c r="K26" s="239"/>
      <c r="L26" s="30"/>
    </row>
    <row r="27" spans="1:12" s="267" customFormat="1" ht="3.75" customHeight="1">
      <c r="A27" s="209"/>
      <c r="B27" s="437"/>
      <c r="C27" s="435"/>
      <c r="D27" s="420"/>
      <c r="E27" s="420"/>
      <c r="F27" s="420"/>
      <c r="G27" s="420"/>
      <c r="H27" s="420"/>
      <c r="I27" s="420"/>
      <c r="J27" s="239"/>
      <c r="K27" s="239"/>
      <c r="L27" s="30"/>
    </row>
    <row r="28" spans="1:12" s="3" customFormat="1" ht="15" customHeight="1">
      <c r="A28" s="52" t="s">
        <v>30</v>
      </c>
      <c r="B28" s="344" t="s">
        <v>21</v>
      </c>
      <c r="C28" s="420">
        <v>5342.584</v>
      </c>
      <c r="D28" s="420">
        <v>6580.225</v>
      </c>
      <c r="E28" s="420">
        <v>3220.926</v>
      </c>
      <c r="F28" s="420">
        <v>2164</v>
      </c>
      <c r="G28" s="420">
        <v>887.012</v>
      </c>
      <c r="H28" s="420">
        <v>867.16</v>
      </c>
      <c r="I28" s="420">
        <v>626.243</v>
      </c>
      <c r="J28" s="420">
        <v>1537</v>
      </c>
      <c r="K28" s="420">
        <v>627</v>
      </c>
      <c r="L28" s="30" t="s">
        <v>22</v>
      </c>
    </row>
    <row r="29" spans="1:12" s="3" customFormat="1" ht="15" customHeight="1">
      <c r="A29" s="8"/>
      <c r="B29" s="26" t="s">
        <v>23</v>
      </c>
      <c r="C29" s="167">
        <v>-25.4</v>
      </c>
      <c r="D29" s="167">
        <v>23.2</v>
      </c>
      <c r="E29" s="167">
        <v>-51.1</v>
      </c>
      <c r="F29" s="167">
        <v>25.2</v>
      </c>
      <c r="G29" s="167">
        <v>-66.2</v>
      </c>
      <c r="H29" s="167">
        <v>-46.1</v>
      </c>
      <c r="I29" s="167">
        <v>-34.5</v>
      </c>
      <c r="J29" s="167">
        <v>82.9</v>
      </c>
      <c r="K29" s="167">
        <v>-29.4</v>
      </c>
      <c r="L29" s="30"/>
    </row>
    <row r="30" spans="1:12" s="3" customFormat="1" ht="15" customHeight="1">
      <c r="A30" s="8"/>
      <c r="B30" s="26"/>
      <c r="C30" s="413"/>
      <c r="D30" s="433"/>
      <c r="E30" s="433"/>
      <c r="F30" s="420"/>
      <c r="G30" s="433"/>
      <c r="H30" s="433"/>
      <c r="I30" s="433"/>
      <c r="J30" s="433"/>
      <c r="K30" s="433"/>
      <c r="L30" s="30"/>
    </row>
    <row r="31" spans="1:12" s="267" customFormat="1" ht="15" customHeight="1">
      <c r="A31" s="52" t="s">
        <v>31</v>
      </c>
      <c r="B31" s="434" t="s">
        <v>25</v>
      </c>
      <c r="C31" s="420">
        <v>8696</v>
      </c>
      <c r="D31" s="420">
        <v>7363</v>
      </c>
      <c r="E31" s="420">
        <v>7367</v>
      </c>
      <c r="F31" s="420">
        <v>3209</v>
      </c>
      <c r="G31" s="420">
        <v>2116</v>
      </c>
      <c r="H31" s="420">
        <v>1841</v>
      </c>
      <c r="I31" s="420">
        <v>1506</v>
      </c>
      <c r="J31" s="420">
        <v>1632</v>
      </c>
      <c r="K31" s="420">
        <v>1577</v>
      </c>
      <c r="L31" s="30">
        <v>100</v>
      </c>
    </row>
    <row r="32" spans="1:12" s="267" customFormat="1" ht="15" customHeight="1">
      <c r="A32" s="8"/>
      <c r="B32" s="344" t="s">
        <v>23</v>
      </c>
      <c r="C32" s="167">
        <v>2.2</v>
      </c>
      <c r="D32" s="167">
        <v>-15.3</v>
      </c>
      <c r="E32" s="167">
        <v>0.1</v>
      </c>
      <c r="F32" s="167">
        <v>-20.2</v>
      </c>
      <c r="G32" s="167">
        <v>22.5</v>
      </c>
      <c r="H32" s="167">
        <v>-5.2</v>
      </c>
      <c r="I32" s="167">
        <v>-12.3</v>
      </c>
      <c r="J32" s="167">
        <v>-14.3</v>
      </c>
      <c r="K32" s="167">
        <v>-25.5</v>
      </c>
      <c r="L32" s="30"/>
    </row>
    <row r="33" spans="1:12" s="9" customFormat="1" ht="15" customHeight="1">
      <c r="A33" s="171" t="s">
        <v>32</v>
      </c>
      <c r="B33" s="31"/>
      <c r="C33" s="420">
        <v>688</v>
      </c>
      <c r="D33" s="420">
        <v>688</v>
      </c>
      <c r="E33" s="420">
        <v>746</v>
      </c>
      <c r="F33" s="420">
        <v>304</v>
      </c>
      <c r="G33" s="420">
        <v>265</v>
      </c>
      <c r="H33" s="420">
        <v>145</v>
      </c>
      <c r="I33" s="420">
        <v>148</v>
      </c>
      <c r="J33" s="420">
        <v>156</v>
      </c>
      <c r="K33" s="420">
        <v>148</v>
      </c>
      <c r="L33" s="30">
        <v>9.4</v>
      </c>
    </row>
    <row r="34" spans="1:12" s="9" customFormat="1" ht="15" customHeight="1">
      <c r="A34" s="171" t="s">
        <v>33</v>
      </c>
      <c r="B34" s="31"/>
      <c r="C34" s="420">
        <f>823+747+2121</f>
        <v>3691</v>
      </c>
      <c r="D34" s="420">
        <f>741+742+1738</f>
        <v>3221</v>
      </c>
      <c r="E34" s="420">
        <v>3241</v>
      </c>
      <c r="F34" s="420">
        <v>1498</v>
      </c>
      <c r="G34" s="420">
        <v>798</v>
      </c>
      <c r="H34" s="420">
        <v>957</v>
      </c>
      <c r="I34" s="420">
        <v>623</v>
      </c>
      <c r="J34" s="420">
        <f>406+145+255</f>
        <v>806</v>
      </c>
      <c r="K34" s="420">
        <v>692</v>
      </c>
      <c r="L34" s="30">
        <v>43.9</v>
      </c>
    </row>
    <row r="35" spans="1:12" s="9" customFormat="1" ht="15" customHeight="1">
      <c r="A35" s="171" t="s">
        <v>34</v>
      </c>
      <c r="B35" s="31"/>
      <c r="C35" s="420">
        <v>2663</v>
      </c>
      <c r="D35" s="420">
        <v>1813</v>
      </c>
      <c r="E35" s="420">
        <v>1831</v>
      </c>
      <c r="F35" s="420">
        <v>724</v>
      </c>
      <c r="G35" s="420">
        <v>561</v>
      </c>
      <c r="H35" s="420">
        <v>381</v>
      </c>
      <c r="I35" s="420">
        <v>402</v>
      </c>
      <c r="J35" s="420">
        <v>347</v>
      </c>
      <c r="K35" s="420">
        <v>377</v>
      </c>
      <c r="L35" s="30">
        <v>23.9</v>
      </c>
    </row>
    <row r="36" spans="1:12" s="9" customFormat="1" ht="15" customHeight="1">
      <c r="A36" s="171" t="s">
        <v>35</v>
      </c>
      <c r="B36" s="31"/>
      <c r="C36" s="420">
        <v>1144</v>
      </c>
      <c r="D36" s="420">
        <v>1167</v>
      </c>
      <c r="E36" s="420">
        <v>1196</v>
      </c>
      <c r="F36" s="420">
        <v>535</v>
      </c>
      <c r="G36" s="420">
        <v>407</v>
      </c>
      <c r="H36" s="420">
        <v>255</v>
      </c>
      <c r="I36" s="420">
        <v>256</v>
      </c>
      <c r="J36" s="420">
        <v>248</v>
      </c>
      <c r="K36" s="420">
        <v>287</v>
      </c>
      <c r="L36" s="30">
        <v>18.2</v>
      </c>
    </row>
    <row r="37" spans="1:12" s="9" customFormat="1" ht="15" customHeight="1">
      <c r="A37" s="52" t="s">
        <v>36</v>
      </c>
      <c r="B37" s="31"/>
      <c r="C37" s="420">
        <v>510</v>
      </c>
      <c r="D37" s="420">
        <v>474</v>
      </c>
      <c r="E37" s="420">
        <v>353</v>
      </c>
      <c r="F37" s="420">
        <v>148</v>
      </c>
      <c r="G37" s="420">
        <v>85</v>
      </c>
      <c r="H37" s="420">
        <v>103</v>
      </c>
      <c r="I37" s="420">
        <v>77</v>
      </c>
      <c r="J37" s="420">
        <v>75</v>
      </c>
      <c r="K37" s="420">
        <v>73</v>
      </c>
      <c r="L37" s="30">
        <v>4.6</v>
      </c>
    </row>
    <row r="38" spans="1:12" s="3" customFormat="1" ht="9.75" customHeight="1">
      <c r="A38" s="131"/>
      <c r="B38" s="199"/>
      <c r="C38" s="181"/>
      <c r="D38" s="181"/>
      <c r="E38" s="181"/>
      <c r="F38" s="181"/>
      <c r="G38" s="181"/>
      <c r="H38" s="181"/>
      <c r="I38" s="181"/>
      <c r="J38" s="181"/>
      <c r="K38" s="160"/>
      <c r="L38" s="160"/>
    </row>
    <row r="39" spans="1:12" s="3" customFormat="1" ht="3.75" customHeight="1">
      <c r="A39" s="7"/>
      <c r="B39" s="2"/>
      <c r="C39" s="136"/>
      <c r="D39" s="136"/>
      <c r="E39" s="136"/>
      <c r="F39" s="136"/>
      <c r="G39" s="136"/>
      <c r="H39" s="136"/>
      <c r="I39" s="136"/>
      <c r="J39" s="136"/>
      <c r="K39" s="2"/>
      <c r="L39" s="2"/>
    </row>
    <row r="40" ht="15" customHeight="1">
      <c r="A40" s="159" t="s">
        <v>37</v>
      </c>
    </row>
    <row r="41" ht="15" customHeight="1">
      <c r="A41" s="438"/>
    </row>
    <row r="42" ht="15" customHeight="1">
      <c r="A42" s="438"/>
    </row>
    <row r="43" ht="15" customHeight="1"/>
    <row r="44" spans="1:11" s="9" customFormat="1" ht="20.25" customHeight="1">
      <c r="A44" s="5" t="s">
        <v>38</v>
      </c>
      <c r="B44" s="407"/>
      <c r="C44" s="8"/>
      <c r="G44" s="8"/>
      <c r="K44" s="8"/>
    </row>
    <row r="45" spans="1:12" s="9" customFormat="1" ht="15" customHeight="1">
      <c r="A45" s="52"/>
      <c r="B45" s="52"/>
      <c r="C45" s="8"/>
      <c r="G45" s="8"/>
      <c r="K45" s="8"/>
      <c r="L45" s="187"/>
    </row>
    <row r="46" spans="1:12" s="9" customFormat="1" ht="15" customHeight="1">
      <c r="A46" s="132"/>
      <c r="B46" s="132"/>
      <c r="C46" s="566">
        <v>1998</v>
      </c>
      <c r="D46" s="568">
        <v>1999</v>
      </c>
      <c r="E46" s="568">
        <v>2000</v>
      </c>
      <c r="F46" s="13">
        <v>2001</v>
      </c>
      <c r="G46" s="12">
        <v>2000</v>
      </c>
      <c r="H46" s="12">
        <v>2000</v>
      </c>
      <c r="I46" s="12">
        <v>2000</v>
      </c>
      <c r="J46" s="12">
        <v>2001</v>
      </c>
      <c r="K46" s="12">
        <v>2001</v>
      </c>
      <c r="L46" s="201"/>
    </row>
    <row r="47" spans="1:12" s="9" customFormat="1" ht="15" customHeight="1">
      <c r="A47" s="143"/>
      <c r="B47" s="143"/>
      <c r="C47" s="572"/>
      <c r="D47" s="573"/>
      <c r="E47" s="573"/>
      <c r="F47" s="138" t="s">
        <v>13</v>
      </c>
      <c r="G47" s="139" t="s">
        <v>14</v>
      </c>
      <c r="H47" s="139" t="s">
        <v>15</v>
      </c>
      <c r="I47" s="139" t="s">
        <v>16</v>
      </c>
      <c r="J47" s="139" t="s">
        <v>17</v>
      </c>
      <c r="K47" s="140" t="s">
        <v>14</v>
      </c>
      <c r="L47" s="418" t="s">
        <v>18</v>
      </c>
    </row>
    <row r="48" spans="1:12" s="9" customFormat="1" ht="15" customHeight="1">
      <c r="A48" s="141"/>
      <c r="B48" s="15"/>
      <c r="C48" s="567"/>
      <c r="D48" s="569"/>
      <c r="E48" s="569"/>
      <c r="F48" s="142" t="s">
        <v>14</v>
      </c>
      <c r="G48" s="274"/>
      <c r="H48" s="19"/>
      <c r="I48" s="19"/>
      <c r="J48" s="19"/>
      <c r="K48" s="163"/>
      <c r="L48" s="233"/>
    </row>
    <row r="49" spans="1:12" s="9" customFormat="1" ht="9.75" customHeight="1">
      <c r="A49" s="143"/>
      <c r="B49" s="10"/>
      <c r="C49" s="50"/>
      <c r="D49" s="50"/>
      <c r="E49" s="50"/>
      <c r="F49" s="144"/>
      <c r="G49" s="144"/>
      <c r="H49" s="144"/>
      <c r="I49" s="144"/>
      <c r="J49" s="144"/>
      <c r="K49" s="144"/>
      <c r="L49" s="192"/>
    </row>
    <row r="50" spans="1:12" ht="15" customHeight="1">
      <c r="A50" s="209" t="s">
        <v>39</v>
      </c>
      <c r="B50" s="26" t="s">
        <v>21</v>
      </c>
      <c r="C50" s="439">
        <v>1258.906116</v>
      </c>
      <c r="D50" s="30">
        <v>785.3190476</v>
      </c>
      <c r="E50" s="30">
        <v>484.8899761</v>
      </c>
      <c r="F50" s="30">
        <v>38.1</v>
      </c>
      <c r="G50" s="30">
        <v>25.58209</v>
      </c>
      <c r="H50" s="30">
        <v>41.0186274</v>
      </c>
      <c r="I50" s="30">
        <v>418.2892587</v>
      </c>
      <c r="J50" s="30">
        <v>6.3652881</v>
      </c>
      <c r="K50" s="30">
        <v>31.7</v>
      </c>
      <c r="L50" s="30">
        <v>100</v>
      </c>
    </row>
    <row r="51" spans="1:12" ht="15" customHeight="1">
      <c r="A51" s="209"/>
      <c r="B51" s="344" t="s">
        <v>695</v>
      </c>
      <c r="C51" s="30">
        <v>19.04776624619384</v>
      </c>
      <c r="D51" s="30">
        <v>-37.618934595755036</v>
      </c>
      <c r="E51" s="30">
        <v>-38.255671044543746</v>
      </c>
      <c r="F51" s="30">
        <v>48.8</v>
      </c>
      <c r="G51" s="30">
        <v>-78.05210361138693</v>
      </c>
      <c r="H51" s="30">
        <v>-80.26722261248065</v>
      </c>
      <c r="I51" s="30">
        <v>-7.127004302474093</v>
      </c>
      <c r="J51" s="30" t="s">
        <v>730</v>
      </c>
      <c r="K51" s="30">
        <v>23.9</v>
      </c>
      <c r="L51" s="30"/>
    </row>
    <row r="52" spans="1:12" ht="15" customHeight="1">
      <c r="A52" s="209"/>
      <c r="B52" s="344"/>
      <c r="C52" s="153"/>
      <c r="D52" s="153"/>
      <c r="E52" s="153"/>
      <c r="F52" s="153"/>
      <c r="G52" s="153"/>
      <c r="H52" s="153"/>
      <c r="I52" s="153"/>
      <c r="J52" s="172"/>
      <c r="K52" s="172"/>
      <c r="L52" s="172"/>
    </row>
    <row r="53" spans="1:12" ht="15" customHeight="1">
      <c r="A53" s="8" t="s">
        <v>40</v>
      </c>
      <c r="B53" s="26" t="s">
        <v>458</v>
      </c>
      <c r="C53" s="30">
        <v>28.4542598</v>
      </c>
      <c r="D53" s="30">
        <v>10.4725193</v>
      </c>
      <c r="E53" s="30">
        <v>10.302863</v>
      </c>
      <c r="F53" s="30">
        <v>0.7</v>
      </c>
      <c r="G53" s="30" t="s">
        <v>907</v>
      </c>
      <c r="H53" s="30" t="s">
        <v>907</v>
      </c>
      <c r="I53" s="30">
        <v>10.302863</v>
      </c>
      <c r="J53" s="30">
        <v>0.129331</v>
      </c>
      <c r="K53" s="30">
        <v>0.6</v>
      </c>
      <c r="L53" s="30">
        <v>1.8</v>
      </c>
    </row>
    <row r="54" spans="1:12" ht="15" customHeight="1">
      <c r="A54" s="8"/>
      <c r="B54" s="344" t="s">
        <v>695</v>
      </c>
      <c r="C54" s="30">
        <v>133.56832261297572</v>
      </c>
      <c r="D54" s="30">
        <v>-63.19524959141618</v>
      </c>
      <c r="E54" s="30">
        <v>-1.6200142023132802</v>
      </c>
      <c r="F54" s="30" t="s">
        <v>730</v>
      </c>
      <c r="G54" s="30" t="s">
        <v>730</v>
      </c>
      <c r="H54" s="30">
        <v>-100</v>
      </c>
      <c r="I54" s="30">
        <v>8.264963479818178</v>
      </c>
      <c r="J54" s="30" t="s">
        <v>730</v>
      </c>
      <c r="K54" s="30" t="s">
        <v>730</v>
      </c>
      <c r="L54" s="30"/>
    </row>
    <row r="55" spans="1:12" ht="15" customHeight="1">
      <c r="A55" s="8"/>
      <c r="B55" s="344"/>
      <c r="C55" s="153"/>
      <c r="D55" s="153"/>
      <c r="E55" s="153"/>
      <c r="F55" s="153"/>
      <c r="G55" s="153"/>
      <c r="H55" s="153"/>
      <c r="I55" s="153"/>
      <c r="J55" s="172"/>
      <c r="K55" s="172"/>
      <c r="L55" s="172"/>
    </row>
    <row r="56" spans="1:12" ht="15" customHeight="1">
      <c r="A56" s="8" t="s">
        <v>41</v>
      </c>
      <c r="B56" s="26" t="s">
        <v>458</v>
      </c>
      <c r="C56" s="30">
        <v>778.9831008</v>
      </c>
      <c r="D56" s="30">
        <v>365.4461355</v>
      </c>
      <c r="E56" s="30">
        <v>209.1182339</v>
      </c>
      <c r="F56" s="30">
        <v>3.1</v>
      </c>
      <c r="G56" s="30">
        <v>7.6016004</v>
      </c>
      <c r="H56" s="30">
        <v>23.0369355</v>
      </c>
      <c r="I56" s="30">
        <v>178.479698</v>
      </c>
      <c r="J56" s="30" t="s">
        <v>0</v>
      </c>
      <c r="K56" s="30">
        <v>3.1</v>
      </c>
      <c r="L56" s="30">
        <v>9.7</v>
      </c>
    </row>
    <row r="57" spans="1:12" ht="15" customHeight="1">
      <c r="A57" s="8"/>
      <c r="B57" s="344" t="s">
        <v>695</v>
      </c>
      <c r="C57" s="30">
        <v>29.884844729788938</v>
      </c>
      <c r="D57" s="30">
        <v>-53.086769773991996</v>
      </c>
      <c r="E57" s="30">
        <v>-42.777275886667574</v>
      </c>
      <c r="F57" s="30">
        <v>-59</v>
      </c>
      <c r="G57" s="30">
        <v>-86.8940275982082</v>
      </c>
      <c r="H57" s="30">
        <v>-67.5522257206518</v>
      </c>
      <c r="I57" s="30">
        <v>-22.08403286547853</v>
      </c>
      <c r="J57" s="30" t="s">
        <v>730</v>
      </c>
      <c r="K57" s="30">
        <v>-59.5</v>
      </c>
      <c r="L57" s="30"/>
    </row>
    <row r="58" spans="1:12" ht="15" customHeight="1">
      <c r="A58" s="8"/>
      <c r="B58" s="344"/>
      <c r="C58" s="153"/>
      <c r="D58" s="153"/>
      <c r="E58" s="153"/>
      <c r="F58" s="153"/>
      <c r="G58" s="153"/>
      <c r="H58" s="153"/>
      <c r="I58" s="153"/>
      <c r="J58" s="172"/>
      <c r="K58" s="172"/>
      <c r="L58" s="172"/>
    </row>
    <row r="59" spans="1:12" ht="15" customHeight="1">
      <c r="A59" s="8" t="s">
        <v>42</v>
      </c>
      <c r="B59" s="26" t="s">
        <v>458</v>
      </c>
      <c r="C59" s="30">
        <v>97.4901903</v>
      </c>
      <c r="D59" s="30">
        <v>74.4869455</v>
      </c>
      <c r="E59" s="30">
        <v>12.5065436</v>
      </c>
      <c r="F59" s="30">
        <v>3.7</v>
      </c>
      <c r="G59" s="30">
        <v>0.145965</v>
      </c>
      <c r="H59" s="30">
        <v>1.3156715</v>
      </c>
      <c r="I59" s="30">
        <v>11.0449071</v>
      </c>
      <c r="J59" s="30" t="s">
        <v>0</v>
      </c>
      <c r="K59" s="30">
        <v>3.6</v>
      </c>
      <c r="L59" s="30">
        <v>11.4</v>
      </c>
    </row>
    <row r="60" spans="1:12" ht="15" customHeight="1">
      <c r="A60" s="8"/>
      <c r="B60" s="344" t="s">
        <v>695</v>
      </c>
      <c r="C60" s="30">
        <v>9.19351412759426</v>
      </c>
      <c r="D60" s="30">
        <v>-23.595445581974616</v>
      </c>
      <c r="E60" s="30">
        <v>-83.20975102946059</v>
      </c>
      <c r="F60" s="439">
        <v>2405.6</v>
      </c>
      <c r="G60" s="30">
        <v>-99.0628307142898</v>
      </c>
      <c r="H60" s="30">
        <v>-94.55101022801719</v>
      </c>
      <c r="I60" s="30">
        <v>-68.23128341393475</v>
      </c>
      <c r="J60" s="30" t="s">
        <v>730</v>
      </c>
      <c r="K60" s="439">
        <v>2379.5</v>
      </c>
      <c r="L60" s="30"/>
    </row>
    <row r="61" spans="1:12" ht="15" customHeight="1">
      <c r="A61" s="8"/>
      <c r="B61" s="344"/>
      <c r="C61" s="153"/>
      <c r="D61" s="153"/>
      <c r="E61" s="153"/>
      <c r="F61" s="153"/>
      <c r="G61" s="153"/>
      <c r="H61" s="153"/>
      <c r="I61" s="153"/>
      <c r="J61" s="172"/>
      <c r="K61" s="172"/>
      <c r="L61" s="172"/>
    </row>
    <row r="62" spans="1:12" ht="15" customHeight="1">
      <c r="A62" s="8" t="s">
        <v>43</v>
      </c>
      <c r="B62" s="26" t="s">
        <v>458</v>
      </c>
      <c r="C62" s="30">
        <v>1.3866531</v>
      </c>
      <c r="D62" s="30">
        <v>3.195677</v>
      </c>
      <c r="E62" s="30" t="s">
        <v>907</v>
      </c>
      <c r="F62" s="440" t="s">
        <v>907</v>
      </c>
      <c r="G62" s="30" t="s">
        <v>907</v>
      </c>
      <c r="H62" s="30" t="s">
        <v>907</v>
      </c>
      <c r="I62" s="30" t="s">
        <v>907</v>
      </c>
      <c r="J62" s="30" t="s">
        <v>907</v>
      </c>
      <c r="K62" s="30" t="s">
        <v>907</v>
      </c>
      <c r="L62" s="30" t="s">
        <v>907</v>
      </c>
    </row>
    <row r="63" spans="1:12" ht="15" customHeight="1">
      <c r="A63" s="8"/>
      <c r="B63" s="344" t="s">
        <v>695</v>
      </c>
      <c r="C63" s="30">
        <v>-86.16522230506985</v>
      </c>
      <c r="D63" s="30">
        <v>130.4597306997691</v>
      </c>
      <c r="E63" s="30">
        <v>-100</v>
      </c>
      <c r="F63" s="30" t="s">
        <v>730</v>
      </c>
      <c r="G63" s="30" t="s">
        <v>730</v>
      </c>
      <c r="H63" s="30">
        <v>-100</v>
      </c>
      <c r="I63" s="30">
        <v>-100</v>
      </c>
      <c r="J63" s="30" t="s">
        <v>730</v>
      </c>
      <c r="K63" s="30" t="s">
        <v>730</v>
      </c>
      <c r="L63" s="30"/>
    </row>
    <row r="64" spans="1:12" ht="15" customHeight="1">
      <c r="A64" s="8"/>
      <c r="B64" s="344"/>
      <c r="C64" s="153"/>
      <c r="D64" s="153"/>
      <c r="E64" s="153"/>
      <c r="F64" s="153"/>
      <c r="G64" s="153"/>
      <c r="H64" s="153"/>
      <c r="I64" s="153"/>
      <c r="J64" s="172"/>
      <c r="K64" s="172"/>
      <c r="L64" s="172"/>
    </row>
    <row r="65" spans="1:12" ht="15" customHeight="1">
      <c r="A65" s="8" t="s">
        <v>44</v>
      </c>
      <c r="B65" s="26" t="s">
        <v>458</v>
      </c>
      <c r="C65" s="30">
        <v>352.591912</v>
      </c>
      <c r="D65" s="30">
        <v>331.7177703</v>
      </c>
      <c r="E65" s="30">
        <v>252.9623356</v>
      </c>
      <c r="F65" s="30">
        <v>30.6</v>
      </c>
      <c r="G65" s="30">
        <v>17.8345246</v>
      </c>
      <c r="H65" s="30">
        <v>16.6660204</v>
      </c>
      <c r="I65" s="30">
        <v>218.4617906</v>
      </c>
      <c r="J65" s="30">
        <v>6.154819</v>
      </c>
      <c r="K65" s="30">
        <v>24.4</v>
      </c>
      <c r="L65" s="30">
        <v>77.1</v>
      </c>
    </row>
    <row r="66" spans="1:12" ht="15" customHeight="1">
      <c r="A66" s="7"/>
      <c r="B66" s="344" t="s">
        <v>695</v>
      </c>
      <c r="C66" s="30">
        <v>1.8335411322901063</v>
      </c>
      <c r="D66" s="30">
        <v>-5.920198674324673</v>
      </c>
      <c r="E66" s="30">
        <v>-23.7416990439719</v>
      </c>
      <c r="F66" s="30">
        <v>71.6</v>
      </c>
      <c r="G66" s="30">
        <v>-58.50712979233178</v>
      </c>
      <c r="H66" s="30">
        <v>-84.90952467061972</v>
      </c>
      <c r="I66" s="30">
        <v>24.71102312012272</v>
      </c>
      <c r="J66" s="30" t="s">
        <v>730</v>
      </c>
      <c r="K66" s="30">
        <v>37.1</v>
      </c>
      <c r="L66" s="30"/>
    </row>
    <row r="67" spans="1:12" ht="9.75" customHeight="1">
      <c r="A67" s="131"/>
      <c r="B67" s="199"/>
      <c r="C67" s="160"/>
      <c r="D67" s="160"/>
      <c r="E67" s="160"/>
      <c r="F67" s="160"/>
      <c r="G67" s="160"/>
      <c r="H67" s="160"/>
      <c r="I67" s="160"/>
      <c r="J67" s="160"/>
      <c r="K67" s="34"/>
      <c r="L67" s="34"/>
    </row>
    <row r="68" spans="1:12" ht="4.5" customHeight="1">
      <c r="A68" s="7"/>
      <c r="B68" s="2"/>
      <c r="C68" s="2"/>
      <c r="D68" s="2"/>
      <c r="E68" s="2"/>
      <c r="F68" s="2"/>
      <c r="G68" s="2"/>
      <c r="H68" s="2"/>
      <c r="I68" s="2"/>
      <c r="J68" s="2"/>
      <c r="K68" s="23"/>
      <c r="L68" s="23"/>
    </row>
    <row r="69" ht="16.5">
      <c r="A69" s="159" t="s">
        <v>45</v>
      </c>
    </row>
  </sheetData>
  <mergeCells count="6">
    <mergeCell ref="C6:C8"/>
    <mergeCell ref="D6:D8"/>
    <mergeCell ref="E6:E8"/>
    <mergeCell ref="C46:C48"/>
    <mergeCell ref="D46:D48"/>
    <mergeCell ref="E46:E4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K3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19.50390625" style="24" customWidth="1"/>
    <col min="2" max="2" width="9.625" style="24" customWidth="1"/>
    <col min="3" max="4" width="8.625" style="24" customWidth="1"/>
    <col min="5" max="5" width="9.875" style="24" customWidth="1"/>
    <col min="6" max="11" width="8.625" style="24" customWidth="1"/>
    <col min="12" max="16384" width="9.00390625" style="24" customWidth="1"/>
  </cols>
  <sheetData>
    <row r="1" spans="1:11" ht="16.5">
      <c r="A1" s="1" t="s">
        <v>46</v>
      </c>
      <c r="B1" s="4"/>
      <c r="K1" s="23"/>
    </row>
    <row r="2" spans="1:11" ht="16.5">
      <c r="A2" s="4"/>
      <c r="B2" s="4"/>
      <c r="K2" s="23"/>
    </row>
    <row r="3" spans="1:11" ht="16.5">
      <c r="A3" s="4"/>
      <c r="B3" s="4"/>
      <c r="K3" s="23"/>
    </row>
    <row r="4" spans="1:11" ht="16.5">
      <c r="A4" s="2" t="s">
        <v>47</v>
      </c>
      <c r="B4" s="4"/>
      <c r="K4" s="23"/>
    </row>
    <row r="5" spans="1:11" ht="15" customHeight="1">
      <c r="A5" s="23"/>
      <c r="B5" s="23"/>
      <c r="K5" s="23"/>
    </row>
    <row r="6" spans="1:11" s="207" customFormat="1" ht="15" customHeight="1">
      <c r="A6" s="132"/>
      <c r="B6" s="10"/>
      <c r="C6" s="566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2">
        <v>2001</v>
      </c>
    </row>
    <row r="7" spans="1:11" s="207" customFormat="1" ht="15" customHeight="1">
      <c r="A7" s="143"/>
      <c r="B7" s="133"/>
      <c r="C7" s="572"/>
      <c r="D7" s="573"/>
      <c r="E7" s="573"/>
      <c r="F7" s="138" t="s">
        <v>48</v>
      </c>
      <c r="G7" s="139" t="s">
        <v>49</v>
      </c>
      <c r="H7" s="139" t="s">
        <v>50</v>
      </c>
      <c r="I7" s="139" t="s">
        <v>51</v>
      </c>
      <c r="J7" s="139" t="s">
        <v>52</v>
      </c>
      <c r="K7" s="140" t="s">
        <v>49</v>
      </c>
    </row>
    <row r="8" spans="1:11" s="207" customFormat="1" ht="15" customHeight="1">
      <c r="A8" s="141"/>
      <c r="B8" s="15"/>
      <c r="C8" s="567"/>
      <c r="D8" s="569"/>
      <c r="E8" s="569"/>
      <c r="F8" s="142" t="s">
        <v>49</v>
      </c>
      <c r="G8" s="19"/>
      <c r="H8" s="19"/>
      <c r="I8" s="19"/>
      <c r="J8" s="19"/>
      <c r="K8" s="19"/>
    </row>
    <row r="9" spans="1:11" s="9" customFormat="1" ht="9.75" customHeight="1">
      <c r="A9" s="132"/>
      <c r="B9" s="132"/>
      <c r="C9" s="11"/>
      <c r="D9" s="12"/>
      <c r="E9" s="12"/>
      <c r="F9" s="144"/>
      <c r="G9" s="144"/>
      <c r="H9" s="144"/>
      <c r="I9" s="144"/>
      <c r="J9" s="192"/>
      <c r="K9" s="192"/>
    </row>
    <row r="10" spans="1:11" ht="16.5">
      <c r="A10" s="209" t="s">
        <v>53</v>
      </c>
      <c r="B10" s="26" t="s">
        <v>54</v>
      </c>
      <c r="C10" s="441">
        <v>15548.388</v>
      </c>
      <c r="D10" s="441">
        <v>16942.597</v>
      </c>
      <c r="E10" s="441">
        <v>15338.501999999999</v>
      </c>
      <c r="F10" s="157">
        <v>4684.4</v>
      </c>
      <c r="G10" s="441">
        <v>2098.665</v>
      </c>
      <c r="H10" s="441">
        <v>2256.3779999999997</v>
      </c>
      <c r="I10" s="441">
        <v>2503.722</v>
      </c>
      <c r="J10" s="157">
        <v>2110.538</v>
      </c>
      <c r="K10" s="157">
        <v>2573.8</v>
      </c>
    </row>
    <row r="11" spans="1:11" ht="16.5">
      <c r="A11" s="209"/>
      <c r="B11" s="26" t="s">
        <v>55</v>
      </c>
      <c r="C11" s="442">
        <v>3.6518844866306543</v>
      </c>
      <c r="D11" s="442">
        <v>8.9669038359475</v>
      </c>
      <c r="E11" s="442">
        <v>-9.46782243595833</v>
      </c>
      <c r="F11" s="157">
        <v>15.5</v>
      </c>
      <c r="G11" s="442">
        <v>-13.561410026499985</v>
      </c>
      <c r="H11" s="442">
        <v>-18.12049801685943</v>
      </c>
      <c r="I11" s="442">
        <v>-4.7725507587473315</v>
      </c>
      <c r="J11" s="222">
        <v>7.8383613564958186</v>
      </c>
      <c r="K11" s="222">
        <f>(K10-G10)/G10*100</f>
        <v>22.63986867842177</v>
      </c>
    </row>
    <row r="12" spans="1:11" ht="16.5">
      <c r="A12" s="209"/>
      <c r="B12" s="25"/>
      <c r="C12" s="442"/>
      <c r="D12" s="442"/>
      <c r="E12" s="442"/>
      <c r="F12" s="157"/>
      <c r="G12" s="442"/>
      <c r="H12" s="442"/>
      <c r="I12" s="442"/>
      <c r="J12" s="222"/>
      <c r="K12" s="222"/>
    </row>
    <row r="13" spans="1:11" ht="16.5">
      <c r="A13" s="52" t="s">
        <v>56</v>
      </c>
      <c r="B13" s="26" t="s">
        <v>54</v>
      </c>
      <c r="C13" s="443">
        <v>8658.707</v>
      </c>
      <c r="D13" s="443">
        <v>9073.784</v>
      </c>
      <c r="E13" s="443">
        <v>8441.159</v>
      </c>
      <c r="F13" s="157">
        <v>4652.4</v>
      </c>
      <c r="G13" s="443">
        <v>2092.444</v>
      </c>
      <c r="H13" s="443">
        <v>2249.735</v>
      </c>
      <c r="I13" s="443">
        <v>2190.128</v>
      </c>
      <c r="J13" s="222">
        <v>2084.881</v>
      </c>
      <c r="K13" s="222">
        <v>2567.6</v>
      </c>
    </row>
    <row r="14" spans="1:11" ht="16.5">
      <c r="A14" s="52"/>
      <c r="B14" s="26" t="s">
        <v>55</v>
      </c>
      <c r="C14" s="442">
        <v>-13.7</v>
      </c>
      <c r="D14" s="442">
        <v>4.8</v>
      </c>
      <c r="E14" s="442">
        <v>-7</v>
      </c>
      <c r="F14" s="157">
        <v>16.3</v>
      </c>
      <c r="G14" s="442">
        <v>-9.8</v>
      </c>
      <c r="H14" s="442">
        <v>-17</v>
      </c>
      <c r="I14" s="442">
        <v>1.9</v>
      </c>
      <c r="J14" s="222">
        <v>9.22</v>
      </c>
      <c r="K14" s="222">
        <f>(K13-G13)/G13*100</f>
        <v>22.70818239341172</v>
      </c>
    </row>
    <row r="15" spans="1:11" ht="16.5">
      <c r="A15" s="52"/>
      <c r="B15" s="25"/>
      <c r="C15" s="442"/>
      <c r="D15" s="442"/>
      <c r="E15" s="442"/>
      <c r="F15" s="157"/>
      <c r="G15" s="442"/>
      <c r="H15" s="442"/>
      <c r="I15" s="442"/>
      <c r="J15" s="222"/>
      <c r="K15" s="222"/>
    </row>
    <row r="16" spans="1:11" ht="16.5">
      <c r="A16" s="52" t="s">
        <v>57</v>
      </c>
      <c r="B16" s="26" t="s">
        <v>54</v>
      </c>
      <c r="C16" s="443">
        <v>1798.84</v>
      </c>
      <c r="D16" s="443">
        <v>785.248</v>
      </c>
      <c r="E16" s="443">
        <v>374.737</v>
      </c>
      <c r="F16" s="157">
        <v>32</v>
      </c>
      <c r="G16" s="443">
        <v>6.221</v>
      </c>
      <c r="H16" s="443">
        <v>6.643</v>
      </c>
      <c r="I16" s="443">
        <v>313.593</v>
      </c>
      <c r="J16" s="222">
        <v>25.657</v>
      </c>
      <c r="K16" s="222">
        <v>6.3</v>
      </c>
    </row>
    <row r="17" spans="1:11" ht="16.5">
      <c r="A17" s="52"/>
      <c r="B17" s="26" t="s">
        <v>55</v>
      </c>
      <c r="C17" s="442">
        <v>311.1</v>
      </c>
      <c r="D17" s="442">
        <v>-56.3</v>
      </c>
      <c r="E17" s="442">
        <v>-52.3</v>
      </c>
      <c r="F17" s="157">
        <v>-41.4</v>
      </c>
      <c r="G17" s="442">
        <v>-94.3</v>
      </c>
      <c r="H17" s="442">
        <v>-85.3</v>
      </c>
      <c r="I17" s="442">
        <v>-34.7</v>
      </c>
      <c r="J17" s="222">
        <v>-46.856811450112886</v>
      </c>
      <c r="K17" s="222">
        <f>(K16-G16)/G16*100</f>
        <v>1.2698923002732638</v>
      </c>
    </row>
    <row r="18" spans="1:11" ht="16.5">
      <c r="A18" s="209"/>
      <c r="B18" s="25"/>
      <c r="C18" s="9"/>
      <c r="D18" s="9"/>
      <c r="E18" s="9"/>
      <c r="F18" s="153"/>
      <c r="G18" s="9"/>
      <c r="H18" s="9"/>
      <c r="I18" s="9"/>
      <c r="J18" s="222"/>
      <c r="K18" s="222"/>
    </row>
    <row r="19" spans="1:11" ht="16.5">
      <c r="A19" s="209" t="s">
        <v>58</v>
      </c>
      <c r="B19" s="26" t="s">
        <v>54</v>
      </c>
      <c r="C19" s="443">
        <v>15505.724</v>
      </c>
      <c r="D19" s="443">
        <v>16636.176</v>
      </c>
      <c r="E19" s="441">
        <v>15024.27</v>
      </c>
      <c r="F19" s="157">
        <v>3709.6</v>
      </c>
      <c r="G19" s="443">
        <v>2597.358</v>
      </c>
      <c r="H19" s="443">
        <v>1974.958</v>
      </c>
      <c r="I19" s="443">
        <v>2832.017</v>
      </c>
      <c r="J19" s="222">
        <v>1921.66</v>
      </c>
      <c r="K19" s="222">
        <v>1787.9</v>
      </c>
    </row>
    <row r="20" spans="1:11" ht="16.5">
      <c r="A20" s="209"/>
      <c r="B20" s="26" t="s">
        <v>55</v>
      </c>
      <c r="C20" s="442">
        <v>8.883258230449137</v>
      </c>
      <c r="D20" s="442">
        <v>7.290546381452419</v>
      </c>
      <c r="E20" s="442">
        <v>-9.689161740053718</v>
      </c>
      <c r="F20" s="157">
        <v>0.4</v>
      </c>
      <c r="G20" s="442">
        <v>25.452171733247308</v>
      </c>
      <c r="H20" s="442">
        <v>-17.686418178559666</v>
      </c>
      <c r="I20" s="442">
        <v>-20.670059457881717</v>
      </c>
      <c r="J20" s="222">
        <v>75.12095234536824</v>
      </c>
      <c r="K20" s="222">
        <f>(K19-G19)/G19*100</f>
        <v>-31.164668097351232</v>
      </c>
    </row>
    <row r="21" spans="1:11" ht="16.5">
      <c r="A21" s="209"/>
      <c r="B21" s="26"/>
      <c r="C21" s="442"/>
      <c r="D21" s="442"/>
      <c r="E21" s="442"/>
      <c r="F21" s="157"/>
      <c r="G21" s="442"/>
      <c r="H21" s="442"/>
      <c r="I21" s="442"/>
      <c r="J21" s="222"/>
      <c r="K21" s="222"/>
    </row>
    <row r="22" spans="1:11" ht="16.5">
      <c r="A22" s="52" t="s">
        <v>59</v>
      </c>
      <c r="B22" s="26" t="s">
        <v>54</v>
      </c>
      <c r="C22" s="443">
        <v>8332.441</v>
      </c>
      <c r="D22" s="443">
        <v>8152.627</v>
      </c>
      <c r="E22" s="443">
        <v>7484.068</v>
      </c>
      <c r="F22" s="157">
        <v>3580.7</v>
      </c>
      <c r="G22" s="443">
        <v>2472.031</v>
      </c>
      <c r="H22" s="443">
        <v>1805.726</v>
      </c>
      <c r="I22" s="443">
        <v>2129.698</v>
      </c>
      <c r="J22" s="222">
        <v>1892.149</v>
      </c>
      <c r="K22" s="222">
        <v>1688.5</v>
      </c>
    </row>
    <row r="23" spans="1:11" ht="16.5">
      <c r="A23" s="52"/>
      <c r="B23" s="26" t="s">
        <v>55</v>
      </c>
      <c r="C23" s="442">
        <v>8</v>
      </c>
      <c r="D23" s="442">
        <v>-2.2</v>
      </c>
      <c r="E23" s="442">
        <v>-8.2</v>
      </c>
      <c r="F23" s="157">
        <v>0.9</v>
      </c>
      <c r="G23" s="442">
        <v>30.8</v>
      </c>
      <c r="H23" s="442">
        <v>-6.7</v>
      </c>
      <c r="I23" s="442">
        <v>-25.7</v>
      </c>
      <c r="J23" s="222">
        <v>75.75</v>
      </c>
      <c r="K23" s="222">
        <f>(K22-G22)/G22*100</f>
        <v>-31.695840383878682</v>
      </c>
    </row>
    <row r="24" spans="1:11" ht="16.5">
      <c r="A24" s="52"/>
      <c r="B24" s="26"/>
      <c r="C24" s="442"/>
      <c r="D24" s="442"/>
      <c r="E24" s="442"/>
      <c r="F24" s="157"/>
      <c r="G24" s="442"/>
      <c r="H24" s="442"/>
      <c r="I24" s="442"/>
      <c r="J24" s="222"/>
      <c r="K24" s="222"/>
    </row>
    <row r="25" spans="1:11" ht="16.5">
      <c r="A25" s="52" t="s">
        <v>60</v>
      </c>
      <c r="B25" s="26" t="s">
        <v>54</v>
      </c>
      <c r="C25" s="443">
        <v>2082.441</v>
      </c>
      <c r="D25" s="443">
        <v>1399.983</v>
      </c>
      <c r="E25" s="443">
        <v>1017.596</v>
      </c>
      <c r="F25" s="157">
        <v>129</v>
      </c>
      <c r="G25" s="443">
        <v>125.326</v>
      </c>
      <c r="H25" s="443">
        <v>169.232</v>
      </c>
      <c r="I25" s="443">
        <v>702.319</v>
      </c>
      <c r="J25" s="222">
        <v>29.511</v>
      </c>
      <c r="K25" s="222">
        <v>99.4</v>
      </c>
    </row>
    <row r="26" spans="1:11" ht="16.5">
      <c r="A26" s="52"/>
      <c r="B26" s="26" t="s">
        <v>55</v>
      </c>
      <c r="C26" s="442">
        <v>4.3</v>
      </c>
      <c r="D26" s="442">
        <v>-32.8</v>
      </c>
      <c r="E26" s="442">
        <v>-27.3</v>
      </c>
      <c r="F26" s="157">
        <v>-11.7</v>
      </c>
      <c r="G26" s="442">
        <v>-30.5</v>
      </c>
      <c r="H26" s="442">
        <v>-63.5</v>
      </c>
      <c r="I26" s="442">
        <v>-0.3</v>
      </c>
      <c r="J26" s="222">
        <v>42.43</v>
      </c>
      <c r="K26" s="222">
        <f>(K25-G25)/G25*100</f>
        <v>-20.68684869859406</v>
      </c>
    </row>
    <row r="27" spans="1:11" ht="16.5">
      <c r="A27" s="52"/>
      <c r="B27" s="25"/>
      <c r="C27" s="442"/>
      <c r="D27" s="442"/>
      <c r="E27" s="442"/>
      <c r="F27" s="30"/>
      <c r="G27" s="442"/>
      <c r="H27" s="442"/>
      <c r="I27" s="442"/>
      <c r="J27" s="222"/>
      <c r="K27" s="222"/>
    </row>
    <row r="28" spans="1:11" ht="16.5">
      <c r="A28" s="216" t="s">
        <v>61</v>
      </c>
      <c r="B28" s="26" t="s">
        <v>54</v>
      </c>
      <c r="C28" s="443">
        <v>326.2659999999996</v>
      </c>
      <c r="D28" s="443">
        <v>921.1569999999992</v>
      </c>
      <c r="E28" s="443">
        <v>957.0909999999994</v>
      </c>
      <c r="F28" s="156">
        <f>F13-F22</f>
        <v>1071.6999999999998</v>
      </c>
      <c r="G28" s="443">
        <v>-379.587</v>
      </c>
      <c r="H28" s="443">
        <v>444.009</v>
      </c>
      <c r="I28" s="443">
        <v>60.43000000000029</v>
      </c>
      <c r="J28" s="444">
        <v>192.73199999999997</v>
      </c>
      <c r="K28" s="444">
        <f>K13-K22</f>
        <v>879.0999999999999</v>
      </c>
    </row>
    <row r="29" spans="1:11" ht="16.5">
      <c r="A29" s="209"/>
      <c r="B29" s="26" t="s">
        <v>55</v>
      </c>
      <c r="C29" s="442">
        <v>-85.93572521328156</v>
      </c>
      <c r="D29" s="442">
        <v>182.3331269577585</v>
      </c>
      <c r="E29" s="442">
        <v>3.900963679372813</v>
      </c>
      <c r="F29" s="157">
        <v>136.8</v>
      </c>
      <c r="G29" s="445">
        <v>-188.46552732713556</v>
      </c>
      <c r="H29" s="442">
        <v>-42.64924134492553</v>
      </c>
      <c r="I29" s="442">
        <v>108.43160673523951</v>
      </c>
      <c r="J29" s="222">
        <v>-76.84172075776401</v>
      </c>
      <c r="K29" s="222">
        <v>331.6</v>
      </c>
    </row>
    <row r="30" spans="1:11" ht="16.5">
      <c r="A30" s="209"/>
      <c r="B30" s="25"/>
      <c r="C30" s="3"/>
      <c r="D30" s="3"/>
      <c r="E30" s="3"/>
      <c r="F30" s="2"/>
      <c r="G30" s="2"/>
      <c r="H30" s="3"/>
      <c r="I30" s="3"/>
      <c r="J30" s="3"/>
      <c r="K30" s="2"/>
    </row>
    <row r="31" spans="1:11" ht="16.5">
      <c r="A31" s="446" t="s">
        <v>62</v>
      </c>
      <c r="B31" s="75" t="s">
        <v>54</v>
      </c>
      <c r="C31" s="443">
        <v>6291.602</v>
      </c>
      <c r="D31" s="443">
        <v>6234.549</v>
      </c>
      <c r="E31" s="103" t="s">
        <v>63</v>
      </c>
      <c r="F31" s="84">
        <v>7825.658</v>
      </c>
      <c r="G31" s="443">
        <v>6071.767</v>
      </c>
      <c r="H31" s="443">
        <v>6445.761</v>
      </c>
      <c r="I31" s="122" t="s">
        <v>63</v>
      </c>
      <c r="J31" s="88" t="s">
        <v>64</v>
      </c>
      <c r="K31" s="447">
        <v>7825.658</v>
      </c>
    </row>
    <row r="32" spans="1:11" ht="16.5">
      <c r="A32" s="448" t="s">
        <v>65</v>
      </c>
      <c r="B32" s="75" t="s">
        <v>55</v>
      </c>
      <c r="C32" s="449">
        <v>-16.866701752582458</v>
      </c>
      <c r="D32" s="449">
        <v>-0.9068119693521615</v>
      </c>
      <c r="E32" s="450" t="s">
        <v>66</v>
      </c>
      <c r="F32" s="382">
        <v>28.886006330611846</v>
      </c>
      <c r="G32" s="451">
        <v>-6.957820792537706</v>
      </c>
      <c r="H32" s="451">
        <v>-5.5516888499971495</v>
      </c>
      <c r="I32" s="382" t="s">
        <v>66</v>
      </c>
      <c r="J32" s="382" t="s">
        <v>67</v>
      </c>
      <c r="K32" s="382">
        <f>(K31/G31-1)*100</f>
        <v>28.886006330611846</v>
      </c>
    </row>
    <row r="33" spans="1:11" ht="9.75" customHeight="1">
      <c r="A33" s="34"/>
      <c r="B33" s="270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5" customHeight="1">
      <c r="A34" s="23"/>
      <c r="B34" s="209"/>
      <c r="C34" s="23"/>
      <c r="D34" s="23"/>
      <c r="E34" s="23"/>
      <c r="F34" s="23"/>
      <c r="G34" s="23"/>
      <c r="H34" s="23"/>
      <c r="I34" s="23"/>
      <c r="J34" s="23"/>
      <c r="K34" s="23"/>
    </row>
    <row r="35" ht="16.5">
      <c r="A35" s="35" t="s">
        <v>68</v>
      </c>
    </row>
    <row r="36" ht="16.5">
      <c r="A36" s="452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L53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1.625" style="23" customWidth="1"/>
    <col min="2" max="2" width="10.375" style="23" customWidth="1"/>
    <col min="3" max="3" width="8.25390625" style="24" customWidth="1"/>
    <col min="4" max="4" width="8.375" style="24" customWidth="1"/>
    <col min="5" max="5" width="8.25390625" style="24" customWidth="1"/>
    <col min="6" max="6" width="7.875" style="24" customWidth="1"/>
    <col min="7" max="10" width="7.625" style="24" customWidth="1"/>
    <col min="11" max="11" width="7.875" style="23" customWidth="1"/>
    <col min="12" max="12" width="8.50390625" style="24" customWidth="1"/>
    <col min="13" max="16384" width="9.00390625" style="24" customWidth="1"/>
  </cols>
  <sheetData>
    <row r="1" spans="1:12" ht="16.5">
      <c r="A1" s="1" t="s">
        <v>46</v>
      </c>
      <c r="B1" s="4"/>
      <c r="L1" s="3"/>
    </row>
    <row r="2" spans="1:12" ht="16.5">
      <c r="A2" s="4"/>
      <c r="B2" s="4"/>
      <c r="L2" s="3"/>
    </row>
    <row r="3" spans="1:12" ht="16.5">
      <c r="A3" s="4"/>
      <c r="B3" s="4"/>
      <c r="L3" s="3"/>
    </row>
    <row r="4" spans="1:12" ht="16.5">
      <c r="A4" s="2" t="s">
        <v>69</v>
      </c>
      <c r="B4" s="4"/>
      <c r="L4" s="3"/>
    </row>
    <row r="5" ht="15" customHeight="1">
      <c r="L5" s="160"/>
    </row>
    <row r="6" spans="1:12" s="207" customFormat="1" ht="15" customHeight="1">
      <c r="A6" s="132"/>
      <c r="B6" s="10"/>
      <c r="C6" s="566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2">
        <v>2001</v>
      </c>
      <c r="L6" s="453"/>
    </row>
    <row r="7" spans="1:12" s="207" customFormat="1" ht="15" customHeight="1">
      <c r="A7" s="143"/>
      <c r="B7" s="133"/>
      <c r="C7" s="572"/>
      <c r="D7" s="573"/>
      <c r="E7" s="573"/>
      <c r="F7" s="138" t="s">
        <v>481</v>
      </c>
      <c r="G7" s="139" t="s">
        <v>301</v>
      </c>
      <c r="H7" s="139" t="s">
        <v>302</v>
      </c>
      <c r="I7" s="139" t="s">
        <v>303</v>
      </c>
      <c r="J7" s="139" t="s">
        <v>304</v>
      </c>
      <c r="K7" s="140" t="s">
        <v>301</v>
      </c>
      <c r="L7" s="418" t="s">
        <v>70</v>
      </c>
    </row>
    <row r="8" spans="1:12" s="207" customFormat="1" ht="15" customHeight="1">
      <c r="A8" s="141"/>
      <c r="B8" s="15"/>
      <c r="C8" s="567"/>
      <c r="D8" s="569"/>
      <c r="E8" s="569"/>
      <c r="F8" s="142" t="s">
        <v>301</v>
      </c>
      <c r="G8" s="19"/>
      <c r="H8" s="19"/>
      <c r="I8" s="19"/>
      <c r="J8" s="19"/>
      <c r="K8" s="19"/>
      <c r="L8" s="215"/>
    </row>
    <row r="9" spans="1:12" s="9" customFormat="1" ht="9.75" customHeight="1">
      <c r="A9" s="132"/>
      <c r="B9" s="132"/>
      <c r="C9" s="11"/>
      <c r="D9" s="12"/>
      <c r="E9" s="12"/>
      <c r="F9" s="144"/>
      <c r="G9" s="144"/>
      <c r="H9" s="144"/>
      <c r="I9" s="144"/>
      <c r="J9" s="192"/>
      <c r="K9" s="192"/>
      <c r="L9" s="454"/>
    </row>
    <row r="10" spans="1:12" ht="15" customHeight="1">
      <c r="A10" s="209" t="s">
        <v>71</v>
      </c>
      <c r="B10" s="52" t="s">
        <v>458</v>
      </c>
      <c r="C10" s="221">
        <v>15548.388</v>
      </c>
      <c r="D10" s="222">
        <v>16942.598</v>
      </c>
      <c r="E10" s="222">
        <v>15338.500999999998</v>
      </c>
      <c r="F10" s="157">
        <f>F13+F34</f>
        <v>4684.4</v>
      </c>
      <c r="G10" s="222">
        <v>2098.665</v>
      </c>
      <c r="H10" s="222">
        <v>2256.378</v>
      </c>
      <c r="I10" s="222">
        <v>2503.7219999999993</v>
      </c>
      <c r="J10" s="222">
        <v>2110.538</v>
      </c>
      <c r="K10" s="222">
        <f>K13+K34</f>
        <v>2573.9</v>
      </c>
      <c r="L10" s="222">
        <v>100</v>
      </c>
    </row>
    <row r="11" spans="1:12" ht="15" customHeight="1">
      <c r="A11" s="209"/>
      <c r="B11" s="52" t="s">
        <v>695</v>
      </c>
      <c r="C11" s="221">
        <v>3.6518913964877164</v>
      </c>
      <c r="D11" s="222">
        <v>8.966910267482398</v>
      </c>
      <c r="E11" s="222">
        <v>-9.46783368170574</v>
      </c>
      <c r="F11" s="157">
        <v>15.5</v>
      </c>
      <c r="G11" s="222">
        <v>-13.561410026499987</v>
      </c>
      <c r="H11" s="222">
        <v>-18.12049801685941</v>
      </c>
      <c r="I11" s="222">
        <v>-4.772550758747363</v>
      </c>
      <c r="J11" s="222">
        <v>7.838361356495804</v>
      </c>
      <c r="K11" s="222">
        <f>(K10-G10)/G10*100</f>
        <v>22.64463361232022</v>
      </c>
      <c r="L11" s="222"/>
    </row>
    <row r="12" spans="1:12" ht="15" customHeight="1">
      <c r="A12" s="209"/>
      <c r="B12" s="209"/>
      <c r="C12" s="221"/>
      <c r="D12" s="222"/>
      <c r="E12" s="222"/>
      <c r="F12" s="157"/>
      <c r="G12" s="222"/>
      <c r="H12" s="222"/>
      <c r="I12" s="222"/>
      <c r="J12" s="222"/>
      <c r="K12" s="222"/>
      <c r="L12" s="222"/>
    </row>
    <row r="13" spans="1:12" ht="15" customHeight="1">
      <c r="A13" s="52" t="s">
        <v>72</v>
      </c>
      <c r="B13" s="52" t="s">
        <v>458</v>
      </c>
      <c r="C13" s="221">
        <v>8658.707</v>
      </c>
      <c r="D13" s="222">
        <v>9073.785000000002</v>
      </c>
      <c r="E13" s="222">
        <v>8441.158999999998</v>
      </c>
      <c r="F13" s="157">
        <v>4652.4</v>
      </c>
      <c r="G13" s="222">
        <v>2092.444</v>
      </c>
      <c r="H13" s="222">
        <v>2249.735</v>
      </c>
      <c r="I13" s="222">
        <v>2190.1289999999995</v>
      </c>
      <c r="J13" s="222">
        <v>2084.881</v>
      </c>
      <c r="K13" s="222">
        <v>2567.6</v>
      </c>
      <c r="L13" s="222">
        <v>99.8</v>
      </c>
    </row>
    <row r="14" spans="1:12" ht="15" customHeight="1">
      <c r="A14" s="52"/>
      <c r="B14" s="52" t="s">
        <v>695</v>
      </c>
      <c r="C14" s="221">
        <v>-13.716071326608237</v>
      </c>
      <c r="D14" s="222">
        <v>4.793764242166887</v>
      </c>
      <c r="E14" s="222">
        <v>-6.972018843294214</v>
      </c>
      <c r="F14" s="157">
        <v>16.3</v>
      </c>
      <c r="G14" s="222">
        <v>-9.782005070451694</v>
      </c>
      <c r="H14" s="222">
        <v>-16.99840470589623</v>
      </c>
      <c r="I14" s="222">
        <v>1.927858873135202</v>
      </c>
      <c r="J14" s="222">
        <v>9.221777917710682</v>
      </c>
      <c r="K14" s="222">
        <f>(K13-G13)/G13*100</f>
        <v>22.70818239341172</v>
      </c>
      <c r="L14" s="222"/>
    </row>
    <row r="15" spans="1:12" ht="15" customHeight="1">
      <c r="A15" s="8"/>
      <c r="B15" s="209"/>
      <c r="C15" s="221"/>
      <c r="D15" s="222"/>
      <c r="E15" s="222"/>
      <c r="F15" s="157"/>
      <c r="G15" s="222"/>
      <c r="H15" s="222"/>
      <c r="I15" s="222"/>
      <c r="J15" s="222"/>
      <c r="K15" s="222"/>
      <c r="L15" s="222"/>
    </row>
    <row r="16" spans="1:12" ht="15" customHeight="1">
      <c r="A16" s="171" t="s">
        <v>73</v>
      </c>
      <c r="B16" s="52" t="s">
        <v>458</v>
      </c>
      <c r="C16" s="221">
        <v>6355.341</v>
      </c>
      <c r="D16" s="222">
        <v>5987.358</v>
      </c>
      <c r="E16" s="222">
        <v>6895.44</v>
      </c>
      <c r="F16" s="157">
        <v>3513.4</v>
      </c>
      <c r="G16" s="222">
        <v>1561.003</v>
      </c>
      <c r="H16" s="222">
        <v>1963.285</v>
      </c>
      <c r="I16" s="222">
        <v>1703.629</v>
      </c>
      <c r="J16" s="222">
        <v>1760.157</v>
      </c>
      <c r="K16" s="222">
        <v>1753.2</v>
      </c>
      <c r="L16" s="222">
        <v>68.1</v>
      </c>
    </row>
    <row r="17" spans="1:12" ht="15" customHeight="1">
      <c r="A17" s="8"/>
      <c r="B17" s="52" t="s">
        <v>695</v>
      </c>
      <c r="C17" s="221">
        <v>-16.272598104344695</v>
      </c>
      <c r="D17" s="222">
        <v>-5.790137775455328</v>
      </c>
      <c r="E17" s="222">
        <v>15.166656144496438</v>
      </c>
      <c r="F17" s="157">
        <v>8.8</v>
      </c>
      <c r="G17" s="222">
        <v>23.79009490820041</v>
      </c>
      <c r="H17" s="222">
        <v>14.818232804474164</v>
      </c>
      <c r="I17" s="222">
        <v>8.024397017775907</v>
      </c>
      <c r="J17" s="222">
        <v>5.555185745563929</v>
      </c>
      <c r="K17" s="222">
        <f>(K16-G16)/G16*100</f>
        <v>12.312404268281362</v>
      </c>
      <c r="L17" s="222"/>
    </row>
    <row r="18" spans="1:12" ht="15" customHeight="1">
      <c r="A18" s="8"/>
      <c r="B18" s="209"/>
      <c r="C18" s="221"/>
      <c r="D18" s="222"/>
      <c r="E18" s="222"/>
      <c r="F18" s="157"/>
      <c r="G18" s="222"/>
      <c r="H18" s="222"/>
      <c r="I18" s="222"/>
      <c r="J18" s="222"/>
      <c r="K18" s="222"/>
      <c r="L18" s="222"/>
    </row>
    <row r="19" spans="1:12" ht="15" customHeight="1">
      <c r="A19" s="171" t="s">
        <v>74</v>
      </c>
      <c r="B19" s="52" t="s">
        <v>458</v>
      </c>
      <c r="C19" s="221">
        <v>488.925</v>
      </c>
      <c r="D19" s="222">
        <v>495.946</v>
      </c>
      <c r="E19" s="222">
        <v>532.597</v>
      </c>
      <c r="F19" s="157">
        <v>295.8</v>
      </c>
      <c r="G19" s="222">
        <v>142.233</v>
      </c>
      <c r="H19" s="222">
        <v>133.819</v>
      </c>
      <c r="I19" s="222">
        <v>157.056</v>
      </c>
      <c r="J19" s="222">
        <v>134.917</v>
      </c>
      <c r="K19" s="222">
        <v>160.8</v>
      </c>
      <c r="L19" s="222">
        <v>6.2</v>
      </c>
    </row>
    <row r="20" spans="1:12" ht="15" customHeight="1">
      <c r="A20" s="8"/>
      <c r="B20" s="52" t="s">
        <v>695</v>
      </c>
      <c r="C20" s="221">
        <v>-11.583121901995918</v>
      </c>
      <c r="D20" s="222">
        <v>1.4360075676228545</v>
      </c>
      <c r="E20" s="222">
        <v>7.390119085545588</v>
      </c>
      <c r="F20" s="157">
        <v>22.4</v>
      </c>
      <c r="G20" s="222">
        <v>-7.012336639230121</v>
      </c>
      <c r="H20" s="222">
        <v>19.944965805300853</v>
      </c>
      <c r="I20" s="222">
        <v>25.87540373965105</v>
      </c>
      <c r="J20" s="222">
        <v>35.6099669310175</v>
      </c>
      <c r="K20" s="222">
        <f>(K19-G19)/G19*100</f>
        <v>13.053932631667761</v>
      </c>
      <c r="L20" s="222"/>
    </row>
    <row r="21" spans="1:12" ht="15" customHeight="1">
      <c r="A21" s="8"/>
      <c r="B21" s="52"/>
      <c r="C21" s="221"/>
      <c r="D21" s="222"/>
      <c r="E21" s="222"/>
      <c r="F21" s="157"/>
      <c r="G21" s="222"/>
      <c r="H21" s="222"/>
      <c r="I21" s="222"/>
      <c r="J21" s="222"/>
      <c r="K21" s="222"/>
      <c r="L21" s="222"/>
    </row>
    <row r="22" spans="1:12" ht="15" customHeight="1">
      <c r="A22" s="171" t="s">
        <v>75</v>
      </c>
      <c r="B22" s="52" t="s">
        <v>458</v>
      </c>
      <c r="C22" s="221">
        <v>293.019</v>
      </c>
      <c r="D22" s="222">
        <v>255.187</v>
      </c>
      <c r="E22" s="222">
        <v>228.472</v>
      </c>
      <c r="F22" s="157">
        <v>169.5</v>
      </c>
      <c r="G22" s="222">
        <v>55.957</v>
      </c>
      <c r="H22" s="222">
        <v>65.41</v>
      </c>
      <c r="I22" s="222">
        <v>57.656</v>
      </c>
      <c r="J22" s="222">
        <v>109.098</v>
      </c>
      <c r="K22" s="222">
        <v>60.4</v>
      </c>
      <c r="L22" s="222">
        <v>2.3</v>
      </c>
    </row>
    <row r="23" spans="1:12" ht="15" customHeight="1">
      <c r="A23" s="8"/>
      <c r="B23" s="52" t="s">
        <v>695</v>
      </c>
      <c r="C23" s="221">
        <v>-2.6116984681447963</v>
      </c>
      <c r="D23" s="222">
        <v>-12.911108153396189</v>
      </c>
      <c r="E23" s="222">
        <v>-10.468793473021742</v>
      </c>
      <c r="F23" s="157">
        <v>60.8</v>
      </c>
      <c r="G23" s="222">
        <v>-13.974510738389156</v>
      </c>
      <c r="H23" s="222">
        <v>4.717993051886715</v>
      </c>
      <c r="I23" s="222">
        <v>-4.40059691593434</v>
      </c>
      <c r="J23" s="222">
        <v>120.62731298914034</v>
      </c>
      <c r="K23" s="222">
        <f>(K22-G22)/G22*100</f>
        <v>7.940025376628479</v>
      </c>
      <c r="L23" s="222"/>
    </row>
    <row r="24" spans="1:12" ht="15" customHeight="1">
      <c r="A24" s="8"/>
      <c r="B24" s="209"/>
      <c r="C24" s="221"/>
      <c r="D24" s="222"/>
      <c r="E24" s="222"/>
      <c r="F24" s="157"/>
      <c r="G24" s="222"/>
      <c r="H24" s="222"/>
      <c r="I24" s="222"/>
      <c r="J24" s="222"/>
      <c r="K24" s="222"/>
      <c r="L24" s="222"/>
    </row>
    <row r="25" spans="1:12" ht="15" customHeight="1">
      <c r="A25" s="171" t="s">
        <v>76</v>
      </c>
      <c r="B25" s="52" t="s">
        <v>458</v>
      </c>
      <c r="C25" s="221">
        <v>991.904</v>
      </c>
      <c r="D25" s="222">
        <v>2058.728</v>
      </c>
      <c r="E25" s="222">
        <v>545.449</v>
      </c>
      <c r="F25" s="157">
        <v>561.2</v>
      </c>
      <c r="G25" s="222">
        <v>263.816</v>
      </c>
      <c r="H25" s="222">
        <v>38.878</v>
      </c>
      <c r="I25" s="222">
        <v>221.613</v>
      </c>
      <c r="J25" s="222">
        <v>17.806</v>
      </c>
      <c r="K25" s="222">
        <v>543.4</v>
      </c>
      <c r="L25" s="222">
        <v>21.1</v>
      </c>
    </row>
    <row r="26" spans="1:12" ht="15" customHeight="1">
      <c r="A26" s="8"/>
      <c r="B26" s="52" t="s">
        <v>695</v>
      </c>
      <c r="C26" s="221">
        <v>47.1971222551832</v>
      </c>
      <c r="D26" s="222">
        <v>107.55315030486821</v>
      </c>
      <c r="E26" s="222">
        <v>-73.5055335138979</v>
      </c>
      <c r="F26" s="157">
        <v>96.9</v>
      </c>
      <c r="G26" s="222">
        <v>-65.60968710363267</v>
      </c>
      <c r="H26" s="222">
        <v>-94.95305240501762</v>
      </c>
      <c r="I26" s="222">
        <v>-28.546048983066154</v>
      </c>
      <c r="J26" s="222">
        <v>-15.779018068300054</v>
      </c>
      <c r="K26" s="222">
        <f>(K25-G25)/G25*100</f>
        <v>105.97689298602057</v>
      </c>
      <c r="L26" s="222"/>
    </row>
    <row r="27" spans="1:12" ht="15" customHeight="1">
      <c r="A27" s="8"/>
      <c r="B27" s="52"/>
      <c r="C27" s="221"/>
      <c r="D27" s="222"/>
      <c r="E27" s="222"/>
      <c r="F27" s="157"/>
      <c r="G27" s="222"/>
      <c r="H27" s="222"/>
      <c r="I27" s="222"/>
      <c r="J27" s="222"/>
      <c r="K27" s="222"/>
      <c r="L27" s="222"/>
    </row>
    <row r="28" spans="1:12" ht="15" customHeight="1">
      <c r="A28" s="171" t="s">
        <v>77</v>
      </c>
      <c r="B28" s="52" t="s">
        <v>458</v>
      </c>
      <c r="C28" s="221">
        <v>358.409</v>
      </c>
      <c r="D28" s="222">
        <v>164.928</v>
      </c>
      <c r="E28" s="222">
        <v>162.66699999999997</v>
      </c>
      <c r="F28" s="157">
        <v>81.2</v>
      </c>
      <c r="G28" s="222">
        <v>39.723</v>
      </c>
      <c r="H28" s="222">
        <v>40.495</v>
      </c>
      <c r="I28" s="222">
        <v>42.354</v>
      </c>
      <c r="J28" s="222">
        <v>41.02</v>
      </c>
      <c r="K28" s="222">
        <v>40.1</v>
      </c>
      <c r="L28" s="222">
        <v>1.6</v>
      </c>
    </row>
    <row r="29" spans="1:12" ht="15" customHeight="1">
      <c r="A29" s="8"/>
      <c r="B29" s="52" t="s">
        <v>695</v>
      </c>
      <c r="C29" s="221">
        <v>-56.760157609128406</v>
      </c>
      <c r="D29" s="222">
        <v>-53.98329841047518</v>
      </c>
      <c r="E29" s="222">
        <v>-1.3709012417539967</v>
      </c>
      <c r="F29" s="157">
        <v>1.7</v>
      </c>
      <c r="G29" s="222">
        <v>-8.98405279076162</v>
      </c>
      <c r="H29" s="222">
        <v>-0.9974818472972657</v>
      </c>
      <c r="I29" s="222">
        <v>8.147996833746141</v>
      </c>
      <c r="J29" s="222">
        <v>2.307020825539352</v>
      </c>
      <c r="K29" s="222">
        <v>1.1</v>
      </c>
      <c r="L29" s="222"/>
    </row>
    <row r="30" spans="1:12" ht="15" customHeight="1">
      <c r="A30" s="8"/>
      <c r="B30" s="209"/>
      <c r="C30" s="221"/>
      <c r="D30" s="222"/>
      <c r="E30" s="222"/>
      <c r="F30" s="157"/>
      <c r="G30" s="222"/>
      <c r="H30" s="222"/>
      <c r="I30" s="222"/>
      <c r="J30" s="222"/>
      <c r="K30" s="222"/>
      <c r="L30" s="222"/>
    </row>
    <row r="31" spans="1:12" ht="15" customHeight="1">
      <c r="A31" s="171" t="s">
        <v>78</v>
      </c>
      <c r="B31" s="52" t="s">
        <v>458</v>
      </c>
      <c r="C31" s="221">
        <v>171.10899999999998</v>
      </c>
      <c r="D31" s="222">
        <v>111.638</v>
      </c>
      <c r="E31" s="222">
        <v>76.534</v>
      </c>
      <c r="F31" s="157">
        <v>31.4</v>
      </c>
      <c r="G31" s="222">
        <v>29.712000000000003</v>
      </c>
      <c r="H31" s="222">
        <v>7.848000000000001</v>
      </c>
      <c r="I31" s="222">
        <v>7.821</v>
      </c>
      <c r="J31" s="222">
        <v>21.883</v>
      </c>
      <c r="K31" s="222">
        <v>9.6</v>
      </c>
      <c r="L31" s="222">
        <v>0.4</v>
      </c>
    </row>
    <row r="32" spans="1:12" ht="15" customHeight="1">
      <c r="A32" s="8" t="s">
        <v>79</v>
      </c>
      <c r="B32" s="52" t="s">
        <v>695</v>
      </c>
      <c r="C32" s="221">
        <v>94.40449004169649</v>
      </c>
      <c r="D32" s="222">
        <v>-34.75620803113804</v>
      </c>
      <c r="E32" s="222">
        <v>-31.444490227341937</v>
      </c>
      <c r="F32" s="157">
        <v>-48.3</v>
      </c>
      <c r="G32" s="222">
        <v>0.585666407122809</v>
      </c>
      <c r="H32" s="222">
        <v>-48.72263966024174</v>
      </c>
      <c r="I32" s="222">
        <v>-78.99556868537665</v>
      </c>
      <c r="J32" s="222">
        <v>-29.756363753089587</v>
      </c>
      <c r="K32" s="222">
        <v>-67.8</v>
      </c>
      <c r="L32" s="222"/>
    </row>
    <row r="33" spans="1:12" ht="15" customHeight="1">
      <c r="A33" s="8"/>
      <c r="B33" s="209"/>
      <c r="C33" s="221"/>
      <c r="D33" s="222"/>
      <c r="E33" s="222"/>
      <c r="F33" s="157"/>
      <c r="G33" s="222"/>
      <c r="H33" s="222"/>
      <c r="I33" s="222"/>
      <c r="J33" s="222"/>
      <c r="K33" s="222"/>
      <c r="L33" s="222"/>
    </row>
    <row r="34" spans="1:12" ht="15" customHeight="1">
      <c r="A34" s="52" t="s">
        <v>80</v>
      </c>
      <c r="B34" s="52" t="s">
        <v>458</v>
      </c>
      <c r="C34" s="221">
        <v>1798.84</v>
      </c>
      <c r="D34" s="222">
        <v>785.2470000000001</v>
      </c>
      <c r="E34" s="222">
        <v>374.736</v>
      </c>
      <c r="F34" s="157">
        <v>32</v>
      </c>
      <c r="G34" s="222">
        <v>6.221</v>
      </c>
      <c r="H34" s="222">
        <v>6.643</v>
      </c>
      <c r="I34" s="222">
        <v>313.59299999999996</v>
      </c>
      <c r="J34" s="222">
        <v>25.657</v>
      </c>
      <c r="K34" s="222">
        <f>K37+K49</f>
        <v>6.3</v>
      </c>
      <c r="L34" s="222">
        <v>0.2</v>
      </c>
    </row>
    <row r="35" spans="1:12" ht="15" customHeight="1">
      <c r="A35" s="52"/>
      <c r="B35" s="52" t="s">
        <v>695</v>
      </c>
      <c r="C35" s="221">
        <v>311.0478654001276</v>
      </c>
      <c r="D35" s="222">
        <v>-56.34703475573147</v>
      </c>
      <c r="E35" s="222">
        <v>-52.27794566550399</v>
      </c>
      <c r="F35" s="157">
        <v>-41.4</v>
      </c>
      <c r="G35" s="222">
        <v>-94.27206098998232</v>
      </c>
      <c r="H35" s="222">
        <v>-85.32160770709504</v>
      </c>
      <c r="I35" s="222">
        <v>-34.735700743188836</v>
      </c>
      <c r="J35" s="222">
        <v>-46.856811450112886</v>
      </c>
      <c r="K35" s="222">
        <f>(K34-G34)/G34*100</f>
        <v>1.2698923002732638</v>
      </c>
      <c r="L35" s="222"/>
    </row>
    <row r="36" spans="1:12" ht="15" customHeight="1">
      <c r="A36" s="52"/>
      <c r="B36" s="209"/>
      <c r="C36" s="221"/>
      <c r="D36" s="222"/>
      <c r="E36" s="222"/>
      <c r="F36" s="157"/>
      <c r="G36" s="222"/>
      <c r="H36" s="222"/>
      <c r="I36" s="222"/>
      <c r="J36" s="222"/>
      <c r="K36" s="222"/>
      <c r="L36" s="222"/>
    </row>
    <row r="37" spans="1:12" ht="15" customHeight="1">
      <c r="A37" s="171" t="s">
        <v>81</v>
      </c>
      <c r="B37" s="52" t="s">
        <v>458</v>
      </c>
      <c r="C37" s="221">
        <v>13.521</v>
      </c>
      <c r="D37" s="222">
        <v>68.213</v>
      </c>
      <c r="E37" s="222">
        <v>7.452</v>
      </c>
      <c r="F37" s="157">
        <v>0.9</v>
      </c>
      <c r="G37" s="222">
        <v>1.713</v>
      </c>
      <c r="H37" s="222">
        <v>0.857</v>
      </c>
      <c r="I37" s="276" t="s">
        <v>82</v>
      </c>
      <c r="J37" s="222">
        <v>0.328</v>
      </c>
      <c r="K37" s="222">
        <v>0.6</v>
      </c>
      <c r="L37" s="157" t="s">
        <v>0</v>
      </c>
    </row>
    <row r="38" spans="1:12" ht="15" customHeight="1">
      <c r="A38" s="8"/>
      <c r="B38" s="52" t="s">
        <v>695</v>
      </c>
      <c r="C38" s="221">
        <v>-18.173565722585327</v>
      </c>
      <c r="D38" s="222">
        <v>404.49670882331185</v>
      </c>
      <c r="E38" s="222">
        <v>-89.07539618547784</v>
      </c>
      <c r="F38" s="157">
        <v>-85.6</v>
      </c>
      <c r="G38" s="222">
        <v>-32.319241406558675</v>
      </c>
      <c r="H38" s="222">
        <v>-93.42841806609923</v>
      </c>
      <c r="I38" s="222">
        <v>-100</v>
      </c>
      <c r="J38" s="222">
        <v>-93.28144203195411</v>
      </c>
      <c r="K38" s="222">
        <v>-63.9</v>
      </c>
      <c r="L38" s="222"/>
    </row>
    <row r="39" spans="1:12" ht="15" customHeight="1">
      <c r="A39" s="8"/>
      <c r="B39" s="209"/>
      <c r="C39" s="221"/>
      <c r="D39" s="222"/>
      <c r="E39" s="222"/>
      <c r="F39" s="157"/>
      <c r="G39" s="222"/>
      <c r="H39" s="222"/>
      <c r="I39" s="222"/>
      <c r="J39" s="222"/>
      <c r="K39" s="222"/>
      <c r="L39" s="222"/>
    </row>
    <row r="40" spans="1:12" ht="15" customHeight="1">
      <c r="A40" s="171" t="s">
        <v>77</v>
      </c>
      <c r="B40" s="52" t="s">
        <v>458</v>
      </c>
      <c r="C40" s="221">
        <v>192.925</v>
      </c>
      <c r="D40" s="222">
        <v>278.927</v>
      </c>
      <c r="E40" s="222">
        <v>19.138</v>
      </c>
      <c r="F40" s="276" t="s">
        <v>907</v>
      </c>
      <c r="G40" s="276" t="s">
        <v>82</v>
      </c>
      <c r="H40" s="276" t="s">
        <v>82</v>
      </c>
      <c r="I40" s="276" t="s">
        <v>82</v>
      </c>
      <c r="J40" s="276" t="s">
        <v>82</v>
      </c>
      <c r="K40" s="157" t="s">
        <v>907</v>
      </c>
      <c r="L40" s="157" t="s">
        <v>907</v>
      </c>
    </row>
    <row r="41" spans="1:12" ht="15" customHeight="1">
      <c r="A41" s="8"/>
      <c r="B41" s="52" t="s">
        <v>695</v>
      </c>
      <c r="C41" s="455" t="s">
        <v>706</v>
      </c>
      <c r="D41" s="222">
        <v>44.577944797200985</v>
      </c>
      <c r="E41" s="222">
        <v>-93.1387065432891</v>
      </c>
      <c r="F41" s="157">
        <v>-100</v>
      </c>
      <c r="G41" s="222">
        <v>-100</v>
      </c>
      <c r="H41" s="222">
        <v>-100</v>
      </c>
      <c r="I41" s="222">
        <v>-100</v>
      </c>
      <c r="J41" s="222">
        <v>-100</v>
      </c>
      <c r="K41" s="157" t="s">
        <v>730</v>
      </c>
      <c r="L41" s="222"/>
    </row>
    <row r="42" spans="1:12" ht="15" customHeight="1">
      <c r="A42" s="8"/>
      <c r="B42" s="209"/>
      <c r="C42" s="221"/>
      <c r="D42" s="222"/>
      <c r="E42" s="222"/>
      <c r="F42" s="157"/>
      <c r="G42" s="222"/>
      <c r="H42" s="222"/>
      <c r="I42" s="222"/>
      <c r="J42" s="222"/>
      <c r="K42" s="222"/>
      <c r="L42" s="222"/>
    </row>
    <row r="43" spans="1:12" ht="15" customHeight="1">
      <c r="A43" s="171" t="s">
        <v>83</v>
      </c>
      <c r="B43" s="52" t="s">
        <v>458</v>
      </c>
      <c r="C43" s="221">
        <v>4.4</v>
      </c>
      <c r="D43" s="222">
        <v>8.8</v>
      </c>
      <c r="E43" s="222">
        <v>4.4</v>
      </c>
      <c r="F43" s="276" t="s">
        <v>907</v>
      </c>
      <c r="G43" s="276" t="s">
        <v>82</v>
      </c>
      <c r="H43" s="276" t="s">
        <v>82</v>
      </c>
      <c r="I43" s="222">
        <v>4.4</v>
      </c>
      <c r="J43" s="276" t="s">
        <v>82</v>
      </c>
      <c r="K43" s="276" t="s">
        <v>907</v>
      </c>
      <c r="L43" s="276" t="s">
        <v>907</v>
      </c>
    </row>
    <row r="44" spans="1:12" ht="15" customHeight="1">
      <c r="A44" s="8"/>
      <c r="B44" s="52" t="s">
        <v>695</v>
      </c>
      <c r="C44" s="455" t="s">
        <v>706</v>
      </c>
      <c r="D44" s="222">
        <v>100</v>
      </c>
      <c r="E44" s="222">
        <v>-50</v>
      </c>
      <c r="F44" s="157" t="s">
        <v>730</v>
      </c>
      <c r="G44" s="222">
        <v>-100</v>
      </c>
      <c r="H44" s="276" t="s">
        <v>706</v>
      </c>
      <c r="I44" s="276" t="s">
        <v>82</v>
      </c>
      <c r="J44" s="276" t="s">
        <v>706</v>
      </c>
      <c r="K44" s="157" t="s">
        <v>730</v>
      </c>
      <c r="L44" s="222"/>
    </row>
    <row r="45" spans="1:12" ht="15" customHeight="1">
      <c r="A45" s="8"/>
      <c r="B45" s="209"/>
      <c r="C45" s="221"/>
      <c r="D45" s="222"/>
      <c r="E45" s="222"/>
      <c r="F45" s="157"/>
      <c r="G45" s="222"/>
      <c r="H45" s="222"/>
      <c r="I45" s="222"/>
      <c r="J45" s="222"/>
      <c r="K45" s="222"/>
      <c r="L45" s="222"/>
    </row>
    <row r="46" spans="1:12" ht="15" customHeight="1">
      <c r="A46" s="171" t="s">
        <v>84</v>
      </c>
      <c r="B46" s="52" t="s">
        <v>458</v>
      </c>
      <c r="C46" s="221">
        <v>1570.4</v>
      </c>
      <c r="D46" s="222">
        <v>400</v>
      </c>
      <c r="E46" s="222">
        <v>306.421</v>
      </c>
      <c r="F46" s="276" t="s">
        <v>907</v>
      </c>
      <c r="G46" s="276" t="s">
        <v>82</v>
      </c>
      <c r="H46" s="276" t="s">
        <v>82</v>
      </c>
      <c r="I46" s="222">
        <v>306.421</v>
      </c>
      <c r="J46" s="276" t="s">
        <v>82</v>
      </c>
      <c r="K46" s="276" t="s">
        <v>907</v>
      </c>
      <c r="L46" s="276" t="s">
        <v>907</v>
      </c>
    </row>
    <row r="47" spans="1:12" ht="15" customHeight="1">
      <c r="A47" s="8"/>
      <c r="B47" s="52" t="s">
        <v>695</v>
      </c>
      <c r="C47" s="221">
        <v>292.6</v>
      </c>
      <c r="D47" s="222">
        <v>-74.52878247580234</v>
      </c>
      <c r="E47" s="222">
        <v>-23.39475</v>
      </c>
      <c r="F47" s="157" t="s">
        <v>730</v>
      </c>
      <c r="G47" s="276" t="s">
        <v>706</v>
      </c>
      <c r="H47" s="276" t="s">
        <v>706</v>
      </c>
      <c r="I47" s="222">
        <v>-23.39475</v>
      </c>
      <c r="J47" s="276" t="s">
        <v>706</v>
      </c>
      <c r="K47" s="157" t="s">
        <v>730</v>
      </c>
      <c r="L47" s="222"/>
    </row>
    <row r="48" spans="1:12" ht="15" customHeight="1">
      <c r="A48" s="8"/>
      <c r="B48" s="209"/>
      <c r="C48" s="221"/>
      <c r="D48" s="222"/>
      <c r="E48" s="222"/>
      <c r="F48" s="157"/>
      <c r="G48" s="222"/>
      <c r="H48" s="222"/>
      <c r="I48" s="222"/>
      <c r="J48" s="222"/>
      <c r="K48" s="222"/>
      <c r="L48" s="222"/>
    </row>
    <row r="49" spans="1:12" ht="15" customHeight="1">
      <c r="A49" s="171" t="s">
        <v>85</v>
      </c>
      <c r="B49" s="52" t="s">
        <v>458</v>
      </c>
      <c r="C49" s="221">
        <v>17.594</v>
      </c>
      <c r="D49" s="222">
        <v>29.307</v>
      </c>
      <c r="E49" s="222">
        <v>37.325</v>
      </c>
      <c r="F49" s="157">
        <v>31</v>
      </c>
      <c r="G49" s="222">
        <v>4.508</v>
      </c>
      <c r="H49" s="222">
        <v>5.786</v>
      </c>
      <c r="I49" s="222">
        <v>2.772</v>
      </c>
      <c r="J49" s="222">
        <v>25.329</v>
      </c>
      <c r="K49" s="222">
        <v>5.7</v>
      </c>
      <c r="L49" s="222">
        <v>0.2</v>
      </c>
    </row>
    <row r="50" spans="1:12" ht="15" customHeight="1">
      <c r="A50" s="52"/>
      <c r="B50" s="52" t="s">
        <v>695</v>
      </c>
      <c r="C50" s="221">
        <v>-16.616113744075832</v>
      </c>
      <c r="D50" s="222">
        <v>66.57383198817777</v>
      </c>
      <c r="E50" s="222">
        <v>27.358651516702515</v>
      </c>
      <c r="F50" s="157">
        <v>7.8</v>
      </c>
      <c r="G50" s="222">
        <v>20.438151215602463</v>
      </c>
      <c r="H50" s="222">
        <v>-22.533136966126666</v>
      </c>
      <c r="I50" s="222">
        <v>59.127439724454646</v>
      </c>
      <c r="J50" s="222">
        <v>4.4107341605177375</v>
      </c>
      <c r="K50" s="222">
        <v>26.1</v>
      </c>
      <c r="L50" s="222"/>
    </row>
    <row r="51" spans="1:12" ht="9.75" customHeight="1">
      <c r="A51" s="177"/>
      <c r="B51" s="177"/>
      <c r="C51" s="456"/>
      <c r="D51" s="457"/>
      <c r="E51" s="457"/>
      <c r="F51" s="457"/>
      <c r="G51" s="457"/>
      <c r="H51" s="457"/>
      <c r="I51" s="457"/>
      <c r="J51" s="457"/>
      <c r="K51" s="457"/>
      <c r="L51" s="458"/>
    </row>
    <row r="52" spans="1:2" ht="16.5">
      <c r="A52" s="35" t="s">
        <v>86</v>
      </c>
      <c r="B52" s="459"/>
    </row>
    <row r="53" ht="16.5">
      <c r="L53" s="2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M65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0.00390625" style="0" customWidth="1"/>
    <col min="2" max="2" width="10.375" style="0" customWidth="1"/>
    <col min="3" max="3" width="7.875" style="0" customWidth="1"/>
    <col min="4" max="4" width="8.125" style="0" customWidth="1"/>
    <col min="5" max="5" width="8.25390625" style="0" customWidth="1"/>
    <col min="6" max="6" width="8.875" style="0" customWidth="1"/>
    <col min="7" max="7" width="9.125" style="0" customWidth="1"/>
    <col min="8" max="8" width="7.50390625" style="0" customWidth="1"/>
    <col min="9" max="9" width="7.625" style="0" customWidth="1"/>
    <col min="10" max="10" width="8.75390625" style="0" customWidth="1"/>
    <col min="11" max="11" width="8.25390625" style="0" customWidth="1"/>
    <col min="12" max="12" width="8.625" style="0" customWidth="1"/>
  </cols>
  <sheetData>
    <row r="1" spans="1:12" ht="16.5">
      <c r="A1" s="55" t="s">
        <v>46</v>
      </c>
      <c r="B1" s="58"/>
      <c r="K1" s="74"/>
      <c r="L1" s="57"/>
    </row>
    <row r="2" spans="1:12" ht="16.5">
      <c r="A2" s="58"/>
      <c r="B2" s="58"/>
      <c r="K2" s="74"/>
      <c r="L2" s="57"/>
    </row>
    <row r="3" spans="1:12" ht="16.5">
      <c r="A3" s="58"/>
      <c r="B3" s="58"/>
      <c r="K3" s="74"/>
      <c r="L3" s="57"/>
    </row>
    <row r="4" spans="1:12" ht="16.5">
      <c r="A4" s="56" t="s">
        <v>87</v>
      </c>
      <c r="B4" s="58"/>
      <c r="K4" s="74"/>
      <c r="L4" s="57"/>
    </row>
    <row r="5" spans="1:12" ht="15" customHeight="1">
      <c r="A5" s="74"/>
      <c r="B5" s="74"/>
      <c r="K5" s="74"/>
      <c r="L5" s="259"/>
    </row>
    <row r="6" spans="1:12" s="462" customFormat="1" ht="15" customHeight="1">
      <c r="A6" s="60"/>
      <c r="B6" s="460"/>
      <c r="C6" s="566">
        <v>1998</v>
      </c>
      <c r="D6" s="568">
        <v>1999</v>
      </c>
      <c r="E6" s="568">
        <v>2000</v>
      </c>
      <c r="F6" s="408">
        <v>2001</v>
      </c>
      <c r="G6" s="38">
        <v>2000</v>
      </c>
      <c r="H6" s="38">
        <v>2000</v>
      </c>
      <c r="I6" s="38">
        <v>2000</v>
      </c>
      <c r="J6" s="38">
        <v>2001</v>
      </c>
      <c r="K6" s="38">
        <v>2001</v>
      </c>
      <c r="L6" s="461"/>
    </row>
    <row r="7" spans="1:12" s="462" customFormat="1" ht="15" customHeight="1">
      <c r="A7" s="63"/>
      <c r="B7" s="463"/>
      <c r="C7" s="572"/>
      <c r="D7" s="573"/>
      <c r="E7" s="573"/>
      <c r="F7" s="65" t="s">
        <v>481</v>
      </c>
      <c r="G7" s="66" t="s">
        <v>301</v>
      </c>
      <c r="H7" s="66" t="s">
        <v>302</v>
      </c>
      <c r="I7" s="66" t="s">
        <v>303</v>
      </c>
      <c r="J7" s="66" t="s">
        <v>304</v>
      </c>
      <c r="K7" s="246" t="s">
        <v>301</v>
      </c>
      <c r="L7" s="464" t="s">
        <v>70</v>
      </c>
    </row>
    <row r="8" spans="1:12" s="462" customFormat="1" ht="15" customHeight="1">
      <c r="A8" s="377"/>
      <c r="B8" s="67"/>
      <c r="C8" s="567"/>
      <c r="D8" s="569"/>
      <c r="E8" s="569"/>
      <c r="F8" s="465" t="s">
        <v>301</v>
      </c>
      <c r="G8" s="69"/>
      <c r="H8" s="69"/>
      <c r="I8" s="69"/>
      <c r="J8" s="69"/>
      <c r="K8" s="69"/>
      <c r="L8" s="260"/>
    </row>
    <row r="9" spans="1:12" s="462" customFormat="1" ht="9.75" customHeight="1">
      <c r="A9" s="63"/>
      <c r="B9" s="63"/>
      <c r="C9" s="64"/>
      <c r="D9" s="50"/>
      <c r="E9" s="50"/>
      <c r="F9" s="466"/>
      <c r="G9" s="466"/>
      <c r="H9" s="466"/>
      <c r="I9" s="466"/>
      <c r="J9" s="466"/>
      <c r="K9" s="466"/>
      <c r="L9" s="250"/>
    </row>
    <row r="10" spans="1:12" ht="15" customHeight="1">
      <c r="A10" s="467" t="s">
        <v>88</v>
      </c>
      <c r="B10" s="128" t="s">
        <v>458</v>
      </c>
      <c r="C10" s="468">
        <v>15505.724</v>
      </c>
      <c r="D10" s="125">
        <v>16636.176</v>
      </c>
      <c r="E10" s="125">
        <v>15024.272</v>
      </c>
      <c r="F10" s="469">
        <v>3709.6</v>
      </c>
      <c r="G10" s="125">
        <v>2597.358</v>
      </c>
      <c r="H10" s="125">
        <v>1974.958</v>
      </c>
      <c r="I10" s="125">
        <v>2832.017</v>
      </c>
      <c r="J10" s="125">
        <v>1921.66</v>
      </c>
      <c r="K10" s="125">
        <f>K13+K28</f>
        <v>1787.9</v>
      </c>
      <c r="L10" s="470">
        <v>100</v>
      </c>
    </row>
    <row r="11" spans="1:12" ht="15" customHeight="1">
      <c r="A11" s="467"/>
      <c r="B11" s="128" t="s">
        <v>695</v>
      </c>
      <c r="C11" s="468">
        <v>8.883265876377022</v>
      </c>
      <c r="D11" s="125">
        <v>7.290546381452412</v>
      </c>
      <c r="E11" s="125">
        <v>-9.689149718060197</v>
      </c>
      <c r="F11" s="469">
        <v>0.4</v>
      </c>
      <c r="G11" s="125">
        <v>25.452111139983714</v>
      </c>
      <c r="H11" s="125">
        <v>-17.68638387135628</v>
      </c>
      <c r="I11" s="125">
        <v>-20.670037236118112</v>
      </c>
      <c r="J11" s="125">
        <v>75.12095234536827</v>
      </c>
      <c r="K11" s="125">
        <f>(K10-G10)/G10*100</f>
        <v>-31.164668097351232</v>
      </c>
      <c r="L11" s="470"/>
    </row>
    <row r="12" spans="1:12" ht="15" customHeight="1">
      <c r="A12" s="467"/>
      <c r="B12" s="467"/>
      <c r="C12" s="468"/>
      <c r="D12" s="125"/>
      <c r="E12" s="125"/>
      <c r="F12" s="469"/>
      <c r="G12" s="125"/>
      <c r="H12" s="125"/>
      <c r="I12" s="125"/>
      <c r="J12" s="125"/>
      <c r="K12" s="125"/>
      <c r="L12" s="470"/>
    </row>
    <row r="13" spans="1:12" ht="15" customHeight="1">
      <c r="A13" s="128" t="s">
        <v>89</v>
      </c>
      <c r="B13" s="128" t="s">
        <v>458</v>
      </c>
      <c r="C13" s="468">
        <v>8332.442000000001</v>
      </c>
      <c r="D13" s="125">
        <v>8152.627</v>
      </c>
      <c r="E13" s="125">
        <v>7484.069</v>
      </c>
      <c r="F13" s="469">
        <f>F16+F19+F22+F25</f>
        <v>3580.7000000000003</v>
      </c>
      <c r="G13" s="125">
        <v>2472.031</v>
      </c>
      <c r="H13" s="125">
        <v>1805.726</v>
      </c>
      <c r="I13" s="125">
        <v>2129.698</v>
      </c>
      <c r="J13" s="125">
        <v>1892.1490000000001</v>
      </c>
      <c r="K13" s="125">
        <f>K16+K19+K22+K25</f>
        <v>1688.5</v>
      </c>
      <c r="L13" s="470">
        <v>94.4</v>
      </c>
    </row>
    <row r="14" spans="1:12" ht="15" customHeight="1">
      <c r="A14" s="128"/>
      <c r="B14" s="128" t="s">
        <v>695</v>
      </c>
      <c r="C14" s="468">
        <v>7.998783198758952</v>
      </c>
      <c r="D14" s="125">
        <v>-2.158010820837397</v>
      </c>
      <c r="E14" s="125">
        <v>-8.200522359234641</v>
      </c>
      <c r="F14" s="469">
        <v>0.9</v>
      </c>
      <c r="G14" s="125">
        <v>30.778753374573252</v>
      </c>
      <c r="H14" s="125">
        <v>-6.742131270813179</v>
      </c>
      <c r="I14" s="125">
        <v>-25.675731325386142</v>
      </c>
      <c r="J14" s="125">
        <v>75.74999024720096</v>
      </c>
      <c r="K14" s="125">
        <f>(K13-G13)/G13*100</f>
        <v>-31.695840383878682</v>
      </c>
      <c r="L14" s="470"/>
    </row>
    <row r="15" spans="1:12" ht="9" customHeight="1">
      <c r="A15" s="128"/>
      <c r="B15" s="467"/>
      <c r="C15" s="468"/>
      <c r="D15" s="125"/>
      <c r="E15" s="125"/>
      <c r="F15" s="469"/>
      <c r="G15" s="125"/>
      <c r="H15" s="125"/>
      <c r="I15" s="125"/>
      <c r="J15" s="125"/>
      <c r="K15" s="125"/>
      <c r="L15" s="470"/>
    </row>
    <row r="16" spans="1:12" ht="15" customHeight="1">
      <c r="A16" s="128" t="s">
        <v>90</v>
      </c>
      <c r="B16" s="128" t="s">
        <v>458</v>
      </c>
      <c r="C16" s="468">
        <v>2978.761</v>
      </c>
      <c r="D16" s="125">
        <v>2927.005</v>
      </c>
      <c r="E16" s="125">
        <v>2648.475</v>
      </c>
      <c r="F16" s="469">
        <v>1321.4</v>
      </c>
      <c r="G16" s="125">
        <v>730.39</v>
      </c>
      <c r="H16" s="125">
        <v>575.615</v>
      </c>
      <c r="I16" s="125">
        <v>761.503</v>
      </c>
      <c r="J16" s="125">
        <v>579.188</v>
      </c>
      <c r="K16" s="125">
        <v>742.2</v>
      </c>
      <c r="L16" s="470">
        <v>41.5</v>
      </c>
    </row>
    <row r="17" spans="1:12" ht="15" customHeight="1">
      <c r="A17" s="128"/>
      <c r="B17" s="128" t="s">
        <v>695</v>
      </c>
      <c r="C17" s="468">
        <v>5.803009465138675</v>
      </c>
      <c r="D17" s="125">
        <v>-1.737500927399005</v>
      </c>
      <c r="E17" s="125">
        <v>-9.515870317953002</v>
      </c>
      <c r="F17" s="469">
        <v>0.8</v>
      </c>
      <c r="G17" s="125">
        <v>-8.840837467627704</v>
      </c>
      <c r="H17" s="125">
        <v>-12.19183661639237</v>
      </c>
      <c r="I17" s="125">
        <v>-9.568376251074717</v>
      </c>
      <c r="J17" s="125">
        <v>-0.30621360593631186</v>
      </c>
      <c r="K17" s="125">
        <f>(K16-G16)/G16*100</f>
        <v>1.6169443721847314</v>
      </c>
      <c r="L17" s="470"/>
    </row>
    <row r="18" spans="1:12" ht="9" customHeight="1">
      <c r="A18" s="128"/>
      <c r="B18" s="467"/>
      <c r="C18" s="468"/>
      <c r="D18" s="125"/>
      <c r="E18" s="125"/>
      <c r="F18" s="469"/>
      <c r="G18" s="125"/>
      <c r="H18" s="125"/>
      <c r="I18" s="125"/>
      <c r="J18" s="125"/>
      <c r="K18" s="125"/>
      <c r="L18" s="470"/>
    </row>
    <row r="19" spans="1:12" ht="15" customHeight="1">
      <c r="A19" s="128" t="s">
        <v>91</v>
      </c>
      <c r="B19" s="128" t="s">
        <v>458</v>
      </c>
      <c r="C19" s="468">
        <v>573.57</v>
      </c>
      <c r="D19" s="125">
        <v>686.09</v>
      </c>
      <c r="E19" s="125">
        <v>524.909</v>
      </c>
      <c r="F19" s="469">
        <v>231.5</v>
      </c>
      <c r="G19" s="125">
        <v>142.183</v>
      </c>
      <c r="H19" s="125">
        <v>134.891</v>
      </c>
      <c r="I19" s="125">
        <v>187.622</v>
      </c>
      <c r="J19" s="125">
        <v>110.096</v>
      </c>
      <c r="K19" s="125">
        <v>121.4</v>
      </c>
      <c r="L19" s="470">
        <v>6.8</v>
      </c>
    </row>
    <row r="20" spans="1:12" ht="15" customHeight="1">
      <c r="A20" s="128"/>
      <c r="B20" s="128" t="s">
        <v>695</v>
      </c>
      <c r="C20" s="468">
        <v>-2.9508806957580958</v>
      </c>
      <c r="D20" s="125">
        <v>19.61748348065624</v>
      </c>
      <c r="E20" s="125">
        <v>-23.492690463350296</v>
      </c>
      <c r="F20" s="469">
        <v>14.4</v>
      </c>
      <c r="G20" s="125">
        <v>-0.7199016855893969</v>
      </c>
      <c r="H20" s="125">
        <v>-16.354966328922405</v>
      </c>
      <c r="I20" s="125">
        <v>-32.75534560989771</v>
      </c>
      <c r="J20" s="125">
        <v>82.84727296884343</v>
      </c>
      <c r="K20" s="125">
        <f>(K19-G19)/G19*100</f>
        <v>-14.617077991039709</v>
      </c>
      <c r="L20" s="470"/>
    </row>
    <row r="21" spans="1:12" ht="9" customHeight="1">
      <c r="A21" s="128"/>
      <c r="B21" s="467"/>
      <c r="C21" s="468"/>
      <c r="D21" s="125"/>
      <c r="E21" s="125"/>
      <c r="F21" s="469"/>
      <c r="G21" s="125"/>
      <c r="H21" s="125"/>
      <c r="I21" s="125"/>
      <c r="J21" s="125"/>
      <c r="K21" s="125"/>
      <c r="L21" s="470"/>
    </row>
    <row r="22" spans="1:12" ht="15" customHeight="1">
      <c r="A22" s="128" t="s">
        <v>92</v>
      </c>
      <c r="B22" s="128" t="s">
        <v>458</v>
      </c>
      <c r="C22" s="468">
        <v>4520.214</v>
      </c>
      <c r="D22" s="125">
        <v>4232.328</v>
      </c>
      <c r="E22" s="125">
        <v>4258.366</v>
      </c>
      <c r="F22" s="469">
        <v>2011.2</v>
      </c>
      <c r="G22" s="125">
        <v>1585.737</v>
      </c>
      <c r="H22" s="125">
        <v>1085.736</v>
      </c>
      <c r="I22" s="125">
        <v>1159.899</v>
      </c>
      <c r="J22" s="125">
        <v>1196.808</v>
      </c>
      <c r="K22" s="125">
        <v>814.4</v>
      </c>
      <c r="L22" s="470">
        <v>45.5</v>
      </c>
    </row>
    <row r="23" spans="1:12" ht="15" customHeight="1">
      <c r="A23" s="128"/>
      <c r="B23" s="128" t="s">
        <v>695</v>
      </c>
      <c r="C23" s="468">
        <v>9.912013762666948</v>
      </c>
      <c r="D23" s="125">
        <v>-6.368857757619429</v>
      </c>
      <c r="E23" s="125">
        <v>0.6152169680610609</v>
      </c>
      <c r="F23" s="469">
        <v>-0.1</v>
      </c>
      <c r="G23" s="125">
        <v>70.78830907686857</v>
      </c>
      <c r="H23" s="125">
        <v>-1.1257647313809738</v>
      </c>
      <c r="I23" s="125">
        <v>-22.24173796803992</v>
      </c>
      <c r="J23" s="125">
        <v>180.2861860209136</v>
      </c>
      <c r="K23" s="125">
        <f>(K22-G22)/G22*100</f>
        <v>-48.642177107553145</v>
      </c>
      <c r="L23" s="470"/>
    </row>
    <row r="24" spans="1:12" ht="9" customHeight="1">
      <c r="A24" s="128"/>
      <c r="B24" s="467"/>
      <c r="C24" s="468"/>
      <c r="D24" s="125"/>
      <c r="E24" s="125"/>
      <c r="F24" s="469"/>
      <c r="G24" s="125"/>
      <c r="H24" s="125"/>
      <c r="I24" s="125"/>
      <c r="J24" s="125"/>
      <c r="K24" s="125"/>
      <c r="L24" s="470"/>
    </row>
    <row r="25" spans="1:12" ht="15" customHeight="1">
      <c r="A25" s="128" t="s">
        <v>93</v>
      </c>
      <c r="B25" s="128" t="s">
        <v>458</v>
      </c>
      <c r="C25" s="468">
        <v>259.897</v>
      </c>
      <c r="D25" s="125">
        <v>307.20399999999995</v>
      </c>
      <c r="E25" s="125">
        <v>52.319</v>
      </c>
      <c r="F25" s="469">
        <v>16.6</v>
      </c>
      <c r="G25" s="125">
        <v>13.721</v>
      </c>
      <c r="H25" s="125">
        <v>9.484</v>
      </c>
      <c r="I25" s="125">
        <v>20.674</v>
      </c>
      <c r="J25" s="125">
        <v>6.057</v>
      </c>
      <c r="K25" s="125">
        <v>10.5</v>
      </c>
      <c r="L25" s="470">
        <v>0.6</v>
      </c>
    </row>
    <row r="26" spans="1:12" ht="15" customHeight="1">
      <c r="A26" s="128"/>
      <c r="B26" s="128" t="s">
        <v>695</v>
      </c>
      <c r="C26" s="468">
        <v>32.36953886585652</v>
      </c>
      <c r="D26" s="125">
        <v>18.202210875846948</v>
      </c>
      <c r="E26" s="125">
        <v>-82.96929727477507</v>
      </c>
      <c r="F26" s="469">
        <v>-25.2</v>
      </c>
      <c r="G26" s="125">
        <v>-20.774871528379236</v>
      </c>
      <c r="H26" s="125">
        <v>-55.62210472135136</v>
      </c>
      <c r="I26" s="125">
        <v>-91.81717072166744</v>
      </c>
      <c r="J26" s="125">
        <v>-28.2345971563981</v>
      </c>
      <c r="K26" s="125">
        <v>-23.3</v>
      </c>
      <c r="L26" s="470"/>
    </row>
    <row r="27" spans="1:12" ht="15" customHeight="1">
      <c r="A27" s="128"/>
      <c r="B27" s="467"/>
      <c r="C27" s="468"/>
      <c r="D27" s="125"/>
      <c r="E27" s="125"/>
      <c r="F27" s="469"/>
      <c r="G27" s="125"/>
      <c r="H27" s="125"/>
      <c r="I27" s="125"/>
      <c r="J27" s="125"/>
      <c r="K27" s="125"/>
      <c r="L27" s="470"/>
    </row>
    <row r="28" spans="1:12" ht="15" customHeight="1">
      <c r="A28" s="128" t="s">
        <v>94</v>
      </c>
      <c r="B28" s="128" t="s">
        <v>458</v>
      </c>
      <c r="C28" s="468">
        <v>2082.441</v>
      </c>
      <c r="D28" s="125">
        <v>1399.983</v>
      </c>
      <c r="E28" s="125">
        <v>1017.5970000000001</v>
      </c>
      <c r="F28" s="469">
        <v>129</v>
      </c>
      <c r="G28" s="125">
        <v>125.32700000000001</v>
      </c>
      <c r="H28" s="125">
        <v>169.232</v>
      </c>
      <c r="I28" s="125">
        <v>702.319</v>
      </c>
      <c r="J28" s="125">
        <v>29.511</v>
      </c>
      <c r="K28" s="79">
        <f>K31+K37</f>
        <v>99.4</v>
      </c>
      <c r="L28" s="470">
        <v>5.6</v>
      </c>
    </row>
    <row r="29" spans="1:12" ht="15" customHeight="1">
      <c r="A29" s="128"/>
      <c r="B29" s="128" t="s">
        <v>695</v>
      </c>
      <c r="C29" s="468">
        <v>4.249860328763044</v>
      </c>
      <c r="D29" s="125">
        <v>-32.772020911997025</v>
      </c>
      <c r="E29" s="125">
        <v>-27.3136173796396</v>
      </c>
      <c r="F29" s="469">
        <v>-11.7</v>
      </c>
      <c r="G29" s="125">
        <v>-30.435337673943565</v>
      </c>
      <c r="H29" s="125">
        <v>-63.4517327988908</v>
      </c>
      <c r="I29" s="125">
        <v>-0.3105717899183347</v>
      </c>
      <c r="J29" s="125">
        <v>42.4344804285921</v>
      </c>
      <c r="K29" s="125">
        <f>(K28-G28)/G28*100</f>
        <v>-20.68748154826973</v>
      </c>
      <c r="L29" s="470"/>
    </row>
    <row r="30" spans="1:12" ht="9" customHeight="1">
      <c r="A30" s="128"/>
      <c r="B30" s="467"/>
      <c r="C30" s="468"/>
      <c r="D30" s="125"/>
      <c r="E30" s="125"/>
      <c r="F30" s="469"/>
      <c r="G30" s="125"/>
      <c r="H30" s="125"/>
      <c r="I30" s="125"/>
      <c r="J30" s="125"/>
      <c r="K30" s="125"/>
      <c r="L30" s="470"/>
    </row>
    <row r="31" spans="1:12" ht="15" customHeight="1">
      <c r="A31" s="105" t="s">
        <v>95</v>
      </c>
      <c r="B31" s="128" t="s">
        <v>458</v>
      </c>
      <c r="C31" s="468">
        <v>1597.996</v>
      </c>
      <c r="D31" s="125">
        <v>1127.79</v>
      </c>
      <c r="E31" s="125">
        <v>870.181</v>
      </c>
      <c r="F31" s="469">
        <v>105.1</v>
      </c>
      <c r="G31" s="125">
        <v>97.879</v>
      </c>
      <c r="H31" s="125">
        <v>134.354</v>
      </c>
      <c r="I31" s="125">
        <v>637.883</v>
      </c>
      <c r="J31" s="125">
        <v>27.506</v>
      </c>
      <c r="K31" s="125">
        <v>77.5</v>
      </c>
      <c r="L31" s="470">
        <v>4.3</v>
      </c>
    </row>
    <row r="32" spans="1:12" ht="15" customHeight="1">
      <c r="A32" s="105"/>
      <c r="B32" s="128" t="s">
        <v>695</v>
      </c>
      <c r="C32" s="468">
        <v>8.443847255305158</v>
      </c>
      <c r="D32" s="125">
        <v>-29.424729473665778</v>
      </c>
      <c r="E32" s="125">
        <v>-22.84192979189388</v>
      </c>
      <c r="F32" s="469">
        <v>7.3</v>
      </c>
      <c r="G32" s="125">
        <v>-34.334516325969254</v>
      </c>
      <c r="H32" s="125">
        <v>-53.51008318454233</v>
      </c>
      <c r="I32" s="125">
        <v>-3.162667978309308</v>
      </c>
      <c r="J32" s="125">
        <v>42216.92307692308</v>
      </c>
      <c r="K32" s="125">
        <f>(K31-G31)/G31*100</f>
        <v>-20.820605032744517</v>
      </c>
      <c r="L32" s="470"/>
    </row>
    <row r="33" spans="1:12" ht="9" customHeight="1">
      <c r="A33" s="105"/>
      <c r="B33" s="467"/>
      <c r="C33" s="468"/>
      <c r="D33" s="125"/>
      <c r="E33" s="125"/>
      <c r="F33" s="469"/>
      <c r="G33" s="125"/>
      <c r="H33" s="125"/>
      <c r="I33" s="125"/>
      <c r="J33" s="125"/>
      <c r="K33" s="125"/>
      <c r="L33" s="470"/>
    </row>
    <row r="34" spans="1:12" ht="15" customHeight="1">
      <c r="A34" s="105" t="s">
        <v>96</v>
      </c>
      <c r="B34" s="128" t="s">
        <v>458</v>
      </c>
      <c r="C34" s="468">
        <v>37.737</v>
      </c>
      <c r="D34" s="125">
        <v>46.81</v>
      </c>
      <c r="E34" s="125">
        <v>37.437</v>
      </c>
      <c r="F34" s="469">
        <v>2</v>
      </c>
      <c r="G34" s="125">
        <v>4.29</v>
      </c>
      <c r="H34" s="125">
        <v>10.724</v>
      </c>
      <c r="I34" s="125">
        <v>22.424</v>
      </c>
      <c r="J34" s="125">
        <v>2.005</v>
      </c>
      <c r="K34" s="471" t="s">
        <v>907</v>
      </c>
      <c r="L34" s="472" t="s">
        <v>907</v>
      </c>
    </row>
    <row r="35" spans="1:12" ht="15" customHeight="1">
      <c r="A35" s="105"/>
      <c r="B35" s="128" t="s">
        <v>695</v>
      </c>
      <c r="C35" s="468">
        <v>-66.54461958545363</v>
      </c>
      <c r="D35" s="125">
        <v>24.042716697140733</v>
      </c>
      <c r="E35" s="125">
        <v>-20.023499252296528</v>
      </c>
      <c r="F35" s="469">
        <v>-53.3</v>
      </c>
      <c r="G35" s="125">
        <v>-53.20170175629977</v>
      </c>
      <c r="H35" s="125">
        <v>55.98545454545454</v>
      </c>
      <c r="I35" s="125">
        <v>-14.363185029597092</v>
      </c>
      <c r="J35" s="469" t="s">
        <v>730</v>
      </c>
      <c r="K35" s="469">
        <v>-100</v>
      </c>
      <c r="L35" s="470"/>
    </row>
    <row r="36" spans="1:12" ht="9" customHeight="1">
      <c r="A36" s="105"/>
      <c r="B36" s="467"/>
      <c r="C36" s="468"/>
      <c r="D36" s="125"/>
      <c r="E36" s="125"/>
      <c r="F36" s="469"/>
      <c r="G36" s="125"/>
      <c r="H36" s="125"/>
      <c r="I36" s="125"/>
      <c r="J36" s="125"/>
      <c r="K36" s="469"/>
      <c r="L36" s="470"/>
    </row>
    <row r="37" spans="1:12" ht="15" customHeight="1">
      <c r="A37" s="105" t="s">
        <v>97</v>
      </c>
      <c r="B37" s="128" t="s">
        <v>458</v>
      </c>
      <c r="C37" s="468">
        <v>446.709</v>
      </c>
      <c r="D37" s="125">
        <v>225.383</v>
      </c>
      <c r="E37" s="125">
        <v>109.979</v>
      </c>
      <c r="F37" s="469">
        <v>21.9</v>
      </c>
      <c r="G37" s="125">
        <v>23.158</v>
      </c>
      <c r="H37" s="125">
        <v>24.154</v>
      </c>
      <c r="I37" s="125">
        <v>42.012</v>
      </c>
      <c r="J37" s="469" t="s">
        <v>907</v>
      </c>
      <c r="K37" s="469">
        <v>21.9</v>
      </c>
      <c r="L37" s="469">
        <v>1.2</v>
      </c>
    </row>
    <row r="38" spans="1:12" ht="15" customHeight="1">
      <c r="A38" s="105"/>
      <c r="B38" s="128" t="s">
        <v>695</v>
      </c>
      <c r="C38" s="468">
        <v>8.640741281190722</v>
      </c>
      <c r="D38" s="125">
        <v>-49.545901246672884</v>
      </c>
      <c r="E38" s="125">
        <v>-51.20350691933287</v>
      </c>
      <c r="F38" s="469">
        <v>-50</v>
      </c>
      <c r="G38" s="125">
        <v>5.575564166856628</v>
      </c>
      <c r="H38" s="125">
        <v>-85.55088953495328</v>
      </c>
      <c r="I38" s="125">
        <v>114.28134244618992</v>
      </c>
      <c r="J38" s="125">
        <v>-100</v>
      </c>
      <c r="K38" s="469">
        <v>-5.5</v>
      </c>
      <c r="L38" s="470"/>
    </row>
    <row r="39" spans="1:13" ht="9.75" customHeight="1">
      <c r="A39" s="127"/>
      <c r="B39" s="473"/>
      <c r="C39" s="474"/>
      <c r="D39" s="475"/>
      <c r="E39" s="475"/>
      <c r="F39" s="475"/>
      <c r="G39" s="475"/>
      <c r="H39" s="475"/>
      <c r="I39" s="475"/>
      <c r="J39" s="475"/>
      <c r="K39" s="475"/>
      <c r="L39" s="476"/>
      <c r="M39" s="74"/>
    </row>
    <row r="40" spans="1:12" ht="16.5">
      <c r="A40" s="130" t="s">
        <v>45</v>
      </c>
      <c r="K40" s="74"/>
      <c r="L40" s="105"/>
    </row>
    <row r="41" spans="1:12" ht="15" customHeight="1">
      <c r="A41" s="130"/>
      <c r="K41" s="74"/>
      <c r="L41" s="105"/>
    </row>
    <row r="42" spans="11:12" ht="15" customHeight="1">
      <c r="K42" s="74"/>
      <c r="L42" s="105"/>
    </row>
    <row r="43" spans="11:12" ht="15" customHeight="1">
      <c r="K43" s="74"/>
      <c r="L43" s="105"/>
    </row>
    <row r="44" ht="18.75">
      <c r="A44" s="59" t="s">
        <v>98</v>
      </c>
    </row>
    <row r="45" spans="1:12" s="44" customFormat="1" ht="15" customHeight="1">
      <c r="A45" s="128"/>
      <c r="B45" s="128"/>
      <c r="C45" s="477"/>
      <c r="G45" s="105"/>
      <c r="K45" s="105"/>
      <c r="L45" s="105"/>
    </row>
    <row r="46" spans="1:12" s="44" customFormat="1" ht="16.5" customHeight="1">
      <c r="A46" s="60"/>
      <c r="B46" s="60"/>
      <c r="C46" s="76"/>
      <c r="D46" s="568">
        <v>1998</v>
      </c>
      <c r="E46" s="568">
        <v>1999</v>
      </c>
      <c r="F46" s="568">
        <v>2000</v>
      </c>
      <c r="G46" s="408">
        <v>2001</v>
      </c>
      <c r="H46" s="38">
        <v>2000</v>
      </c>
      <c r="I46" s="38">
        <v>2000</v>
      </c>
      <c r="J46" s="38">
        <v>2000</v>
      </c>
      <c r="K46" s="38">
        <v>2001</v>
      </c>
      <c r="L46" s="38">
        <v>2001</v>
      </c>
    </row>
    <row r="47" spans="1:12" s="44" customFormat="1" ht="16.5" customHeight="1">
      <c r="A47" s="63"/>
      <c r="B47" s="63"/>
      <c r="C47" s="76"/>
      <c r="D47" s="573"/>
      <c r="E47" s="573"/>
      <c r="F47" s="573"/>
      <c r="G47" s="65" t="s">
        <v>99</v>
      </c>
      <c r="H47" s="66" t="s">
        <v>100</v>
      </c>
      <c r="I47" s="66" t="s">
        <v>101</v>
      </c>
      <c r="J47" s="66" t="s">
        <v>102</v>
      </c>
      <c r="K47" s="66" t="s">
        <v>103</v>
      </c>
      <c r="L47" s="246" t="s">
        <v>100</v>
      </c>
    </row>
    <row r="48" spans="1:12" s="44" customFormat="1" ht="16.5" customHeight="1">
      <c r="A48" s="377"/>
      <c r="B48" s="377"/>
      <c r="C48" s="478"/>
      <c r="D48" s="569"/>
      <c r="E48" s="569"/>
      <c r="F48" s="569"/>
      <c r="G48" s="465" t="s">
        <v>100</v>
      </c>
      <c r="H48" s="69"/>
      <c r="I48" s="69"/>
      <c r="J48" s="69"/>
      <c r="K48" s="69"/>
      <c r="L48" s="69"/>
    </row>
    <row r="49" spans="1:12" s="44" customFormat="1" ht="9.75" customHeight="1">
      <c r="A49" s="63"/>
      <c r="B49" s="60"/>
      <c r="C49" s="51"/>
      <c r="D49" s="50"/>
      <c r="E49" s="50"/>
      <c r="F49" s="466"/>
      <c r="G49" s="466"/>
      <c r="H49" s="66"/>
      <c r="I49" s="66"/>
      <c r="J49" s="66"/>
      <c r="K49" s="105"/>
      <c r="L49" s="105"/>
    </row>
    <row r="50" spans="1:12" s="44" customFormat="1" ht="15" customHeight="1">
      <c r="A50" s="446" t="s">
        <v>104</v>
      </c>
      <c r="B50" s="338" t="s">
        <v>105</v>
      </c>
      <c r="C50" s="585"/>
      <c r="D50" s="479">
        <v>1258.906116</v>
      </c>
      <c r="E50" s="479">
        <v>785.3190476</v>
      </c>
      <c r="F50" s="469">
        <v>484.8899761</v>
      </c>
      <c r="G50" s="469">
        <v>38.1</v>
      </c>
      <c r="H50" s="469">
        <v>25.58209</v>
      </c>
      <c r="I50" s="469">
        <v>41.0186274</v>
      </c>
      <c r="J50" s="469">
        <v>418.2892587</v>
      </c>
      <c r="K50" s="469">
        <v>6.3652881</v>
      </c>
      <c r="L50" s="469">
        <v>31.7</v>
      </c>
    </row>
    <row r="51" spans="1:12" s="44" customFormat="1" ht="15" customHeight="1">
      <c r="A51" s="446"/>
      <c r="B51" s="338" t="s">
        <v>106</v>
      </c>
      <c r="C51" s="585"/>
      <c r="D51" s="479">
        <v>19.04776624619384</v>
      </c>
      <c r="E51" s="479">
        <v>-37.618934595755036</v>
      </c>
      <c r="F51" s="469">
        <v>-38.255671044543746</v>
      </c>
      <c r="G51" s="469">
        <v>48.8</v>
      </c>
      <c r="H51" s="469">
        <v>-78.05210361138693</v>
      </c>
      <c r="I51" s="469">
        <v>-80.26722261248065</v>
      </c>
      <c r="J51" s="469">
        <v>-7.127004302474093</v>
      </c>
      <c r="K51" s="469" t="s">
        <v>107</v>
      </c>
      <c r="L51" s="469">
        <f>(L50-H50)/H50*100</f>
        <v>23.914816967651973</v>
      </c>
    </row>
    <row r="52" spans="1:12" s="44" customFormat="1" ht="15" customHeight="1">
      <c r="A52" s="446"/>
      <c r="B52" s="480"/>
      <c r="C52" s="51"/>
      <c r="D52" s="481"/>
      <c r="E52" s="481"/>
      <c r="F52" s="482"/>
      <c r="G52" s="482"/>
      <c r="H52" s="482"/>
      <c r="I52" s="482"/>
      <c r="J52" s="482"/>
      <c r="K52" s="125"/>
      <c r="L52" s="125"/>
    </row>
    <row r="53" spans="1:12" s="44" customFormat="1" ht="15" customHeight="1">
      <c r="A53" s="446" t="s">
        <v>108</v>
      </c>
      <c r="B53" s="338" t="s">
        <v>105</v>
      </c>
      <c r="C53" s="585"/>
      <c r="D53" s="479">
        <v>339.089751</v>
      </c>
      <c r="E53" s="479">
        <v>342.4709553</v>
      </c>
      <c r="F53" s="469">
        <v>385.2906685</v>
      </c>
      <c r="G53" s="469">
        <v>67</v>
      </c>
      <c r="H53" s="469">
        <v>72.2964436</v>
      </c>
      <c r="I53" s="469">
        <v>93.3356454</v>
      </c>
      <c r="J53" s="469">
        <v>219.5938355</v>
      </c>
      <c r="K53" s="469">
        <v>21.140439699999998</v>
      </c>
      <c r="L53" s="469">
        <v>45.8</v>
      </c>
    </row>
    <row r="54" spans="1:12" s="44" customFormat="1" ht="15" customHeight="1">
      <c r="A54" s="480"/>
      <c r="B54" s="338" t="s">
        <v>106</v>
      </c>
      <c r="C54" s="585"/>
      <c r="D54" s="479">
        <v>-18.50575097087098</v>
      </c>
      <c r="E54" s="479">
        <v>0.9971414028376424</v>
      </c>
      <c r="F54" s="469">
        <v>12.503166337854976</v>
      </c>
      <c r="G54" s="469">
        <v>-7.4</v>
      </c>
      <c r="H54" s="469">
        <v>122.45723929219872</v>
      </c>
      <c r="I54" s="469">
        <v>15.050485211511555</v>
      </c>
      <c r="J54" s="469">
        <v>5.4078416841904176</v>
      </c>
      <c r="K54" s="469">
        <v>32552.353422710985</v>
      </c>
      <c r="L54" s="469">
        <v>-36.6</v>
      </c>
    </row>
    <row r="55" spans="1:12" s="44" customFormat="1" ht="9" customHeight="1">
      <c r="A55" s="63"/>
      <c r="B55" s="480"/>
      <c r="C55" s="51"/>
      <c r="D55" s="479"/>
      <c r="E55" s="479"/>
      <c r="F55" s="469"/>
      <c r="G55" s="469"/>
      <c r="H55" s="469"/>
      <c r="I55" s="469"/>
      <c r="J55" s="469"/>
      <c r="K55" s="469"/>
      <c r="L55" s="469"/>
    </row>
    <row r="56" spans="1:12" ht="16.5">
      <c r="A56" s="254" t="s">
        <v>109</v>
      </c>
      <c r="B56" s="338" t="s">
        <v>105</v>
      </c>
      <c r="C56" s="585"/>
      <c r="D56" s="483">
        <v>1.718534</v>
      </c>
      <c r="E56" s="483">
        <v>6.6679974</v>
      </c>
      <c r="F56" s="469">
        <v>10.924804</v>
      </c>
      <c r="G56" s="469">
        <v>1.6</v>
      </c>
      <c r="H56" s="483">
        <v>1.122918</v>
      </c>
      <c r="I56" s="483">
        <v>1.557128</v>
      </c>
      <c r="J56" s="483">
        <v>8.240591</v>
      </c>
      <c r="K56" s="483">
        <v>0.0953998</v>
      </c>
      <c r="L56" s="483">
        <v>1.5</v>
      </c>
    </row>
    <row r="57" spans="1:12" ht="16.5">
      <c r="A57" s="254"/>
      <c r="B57" s="338" t="s">
        <v>106</v>
      </c>
      <c r="C57" s="585"/>
      <c r="D57" s="483">
        <v>-78.48471866844214</v>
      </c>
      <c r="E57" s="483">
        <v>288.0049740069152</v>
      </c>
      <c r="F57" s="469">
        <v>63.83935602614361</v>
      </c>
      <c r="G57" s="469">
        <v>40.3</v>
      </c>
      <c r="H57" s="472" t="s">
        <v>110</v>
      </c>
      <c r="I57" s="483">
        <v>1394.8524470556613</v>
      </c>
      <c r="J57" s="483">
        <v>57.133749596038875</v>
      </c>
      <c r="K57" s="483">
        <v>2189.4120470362373</v>
      </c>
      <c r="L57" s="483">
        <v>32.4</v>
      </c>
    </row>
    <row r="58" spans="1:12" ht="9" customHeight="1">
      <c r="A58" s="254"/>
      <c r="B58" s="480"/>
      <c r="C58" s="484"/>
      <c r="D58" s="483"/>
      <c r="E58" s="483"/>
      <c r="F58" s="469"/>
      <c r="G58" s="469"/>
      <c r="H58" s="483"/>
      <c r="I58" s="483"/>
      <c r="J58" s="483"/>
      <c r="K58" s="483"/>
      <c r="L58" s="483"/>
    </row>
    <row r="59" spans="1:12" ht="16.5">
      <c r="A59" s="254" t="s">
        <v>111</v>
      </c>
      <c r="B59" s="338" t="s">
        <v>105</v>
      </c>
      <c r="C59" s="585"/>
      <c r="D59" s="483">
        <v>144.2989406</v>
      </c>
      <c r="E59" s="483">
        <v>138.3150863</v>
      </c>
      <c r="F59" s="469">
        <v>181.6854085</v>
      </c>
      <c r="G59" s="469">
        <v>10.4</v>
      </c>
      <c r="H59" s="483">
        <v>8.3833794</v>
      </c>
      <c r="I59" s="483">
        <v>57.6500863</v>
      </c>
      <c r="J59" s="483">
        <v>115.5913658</v>
      </c>
      <c r="K59" s="483">
        <v>0.6618906999999999</v>
      </c>
      <c r="L59" s="483">
        <v>9.8</v>
      </c>
    </row>
    <row r="60" spans="1:12" ht="16.5">
      <c r="A60" s="254"/>
      <c r="B60" s="338" t="s">
        <v>106</v>
      </c>
      <c r="C60" s="585"/>
      <c r="D60" s="483">
        <v>-37.721397670659854</v>
      </c>
      <c r="E60" s="483">
        <v>-4.146845621401618</v>
      </c>
      <c r="F60" s="469">
        <v>31.35617622067015</v>
      </c>
      <c r="G60" s="469">
        <v>23.7</v>
      </c>
      <c r="H60" s="483">
        <v>18.206842601662387</v>
      </c>
      <c r="I60" s="483">
        <v>232.30152835302485</v>
      </c>
      <c r="J60" s="483">
        <v>2.1447404427391126</v>
      </c>
      <c r="K60" s="483">
        <v>992.6435775954569</v>
      </c>
      <c r="L60" s="483">
        <v>16.7</v>
      </c>
    </row>
    <row r="61" spans="1:12" ht="9" customHeight="1">
      <c r="A61" s="254"/>
      <c r="B61" s="480"/>
      <c r="C61" s="484"/>
      <c r="D61" s="483"/>
      <c r="E61" s="483"/>
      <c r="F61" s="469"/>
      <c r="G61" s="469"/>
      <c r="H61" s="483"/>
      <c r="I61" s="483"/>
      <c r="J61" s="483"/>
      <c r="K61" s="483"/>
      <c r="L61" s="483"/>
    </row>
    <row r="62" spans="1:12" ht="16.5">
      <c r="A62" s="254" t="s">
        <v>112</v>
      </c>
      <c r="B62" s="338" t="s">
        <v>105</v>
      </c>
      <c r="C62" s="585"/>
      <c r="D62" s="483">
        <v>193.0722764</v>
      </c>
      <c r="E62" s="483">
        <v>197.4878716</v>
      </c>
      <c r="F62" s="469">
        <v>192.680456</v>
      </c>
      <c r="G62" s="469">
        <v>55</v>
      </c>
      <c r="H62" s="483">
        <v>62.7901462</v>
      </c>
      <c r="I62" s="483">
        <v>34.1284311</v>
      </c>
      <c r="J62" s="483">
        <v>95.7618787</v>
      </c>
      <c r="K62" s="483">
        <v>20.3831492</v>
      </c>
      <c r="L62" s="483">
        <v>34.6</v>
      </c>
    </row>
    <row r="63" spans="2:12" ht="16.5">
      <c r="B63" s="338" t="s">
        <v>106</v>
      </c>
      <c r="C63" s="585"/>
      <c r="D63" s="483">
        <v>9.449025075866002</v>
      </c>
      <c r="E63" s="483">
        <v>2.287016697753108</v>
      </c>
      <c r="F63" s="469">
        <v>-2.4342839694668217</v>
      </c>
      <c r="G63" s="469">
        <v>-12.5</v>
      </c>
      <c r="H63" s="483">
        <v>147.13814069675806</v>
      </c>
      <c r="I63" s="483">
        <v>-46.400401470496334</v>
      </c>
      <c r="J63" s="483">
        <v>6.497703449216785</v>
      </c>
      <c r="K63" s="483" t="s">
        <v>110</v>
      </c>
      <c r="L63" s="483">
        <f>(L62-H62)/H62*100</f>
        <v>-44.89581233050227</v>
      </c>
    </row>
    <row r="64" spans="1:12" ht="9.75" customHeight="1">
      <c r="A64" s="127"/>
      <c r="B64" s="485"/>
      <c r="C64" s="486"/>
      <c r="D64" s="475"/>
      <c r="E64" s="475"/>
      <c r="F64" s="475"/>
      <c r="G64" s="475"/>
      <c r="H64" s="475"/>
      <c r="I64" s="475"/>
      <c r="J64" s="475"/>
      <c r="K64" s="475"/>
      <c r="L64" s="475"/>
    </row>
    <row r="65" ht="16.5">
      <c r="A65" s="130" t="s">
        <v>113</v>
      </c>
    </row>
  </sheetData>
  <mergeCells count="16">
    <mergeCell ref="C6:C8"/>
    <mergeCell ref="D6:D8"/>
    <mergeCell ref="E6:E8"/>
    <mergeCell ref="D46:D48"/>
    <mergeCell ref="E46:E48"/>
    <mergeCell ref="F46:F48"/>
    <mergeCell ref="B50:C50"/>
    <mergeCell ref="B51:C51"/>
    <mergeCell ref="B53:C53"/>
    <mergeCell ref="B60:C60"/>
    <mergeCell ref="B62:C62"/>
    <mergeCell ref="B63:C63"/>
    <mergeCell ref="B54:C54"/>
    <mergeCell ref="B56:C56"/>
    <mergeCell ref="B57:C57"/>
    <mergeCell ref="B59:C5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P159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4.50390625" style="7" customWidth="1"/>
    <col min="2" max="2" width="10.375" style="7" customWidth="1"/>
    <col min="3" max="3" width="8.75390625" style="23" customWidth="1"/>
    <col min="4" max="5" width="8.75390625" style="24" customWidth="1"/>
    <col min="6" max="6" width="8.75390625" style="23" customWidth="1"/>
    <col min="7" max="9" width="8.75390625" style="24" customWidth="1"/>
    <col min="10" max="10" width="8.75390625" style="23" customWidth="1"/>
    <col min="11" max="16384" width="9.00390625" style="24" customWidth="1"/>
  </cols>
  <sheetData>
    <row r="1" spans="1:10" s="9" customFormat="1" ht="15" customHeight="1">
      <c r="A1" s="1" t="s">
        <v>114</v>
      </c>
      <c r="B1" s="4"/>
      <c r="C1" s="8"/>
      <c r="F1" s="8"/>
      <c r="J1" s="8"/>
    </row>
    <row r="2" spans="1:10" s="9" customFormat="1" ht="15" customHeight="1">
      <c r="A2" s="4"/>
      <c r="B2" s="4"/>
      <c r="C2" s="8"/>
      <c r="F2" s="8"/>
      <c r="J2" s="8"/>
    </row>
    <row r="3" spans="1:10" s="9" customFormat="1" ht="15" customHeight="1">
      <c r="A3" s="4"/>
      <c r="B3" s="4"/>
      <c r="C3" s="8"/>
      <c r="F3" s="8"/>
      <c r="J3" s="8"/>
    </row>
    <row r="4" spans="1:6" s="9" customFormat="1" ht="15" customHeight="1">
      <c r="A4" s="2" t="s">
        <v>115</v>
      </c>
      <c r="B4" s="2"/>
      <c r="C4" s="8"/>
      <c r="F4" s="8"/>
    </row>
    <row r="5" spans="1:16" s="9" customFormat="1" ht="15" customHeight="1">
      <c r="A5" s="52"/>
      <c r="B5" s="52"/>
      <c r="C5" s="8"/>
      <c r="F5" s="8"/>
      <c r="J5" s="37" t="s">
        <v>116</v>
      </c>
      <c r="M5" s="8"/>
      <c r="N5" s="8"/>
      <c r="O5" s="8"/>
      <c r="P5" s="8"/>
    </row>
    <row r="6" spans="1:16" s="207" customFormat="1" ht="15" customHeight="1">
      <c r="A6" s="132"/>
      <c r="B6" s="10"/>
      <c r="C6" s="568">
        <v>1998</v>
      </c>
      <c r="D6" s="568">
        <v>1999</v>
      </c>
      <c r="E6" s="570" t="s">
        <v>117</v>
      </c>
      <c r="F6" s="12">
        <v>2000</v>
      </c>
      <c r="G6" s="12">
        <v>2000</v>
      </c>
      <c r="H6" s="12" t="s">
        <v>117</v>
      </c>
      <c r="I6" s="12" t="s">
        <v>118</v>
      </c>
      <c r="J6" s="12">
        <v>2001</v>
      </c>
      <c r="M6" s="50"/>
      <c r="N6" s="50"/>
      <c r="O6" s="50"/>
      <c r="P6" s="50"/>
    </row>
    <row r="7" spans="1:16" s="9" customFormat="1" ht="15" customHeight="1">
      <c r="A7" s="143"/>
      <c r="B7" s="133"/>
      <c r="C7" s="573"/>
      <c r="D7" s="573"/>
      <c r="E7" s="583"/>
      <c r="F7" s="139" t="s">
        <v>432</v>
      </c>
      <c r="G7" s="139" t="s">
        <v>433</v>
      </c>
      <c r="H7" s="139" t="s">
        <v>434</v>
      </c>
      <c r="I7" s="139" t="s">
        <v>435</v>
      </c>
      <c r="J7" s="139" t="s">
        <v>432</v>
      </c>
      <c r="M7" s="139"/>
      <c r="N7" s="139"/>
      <c r="O7" s="139"/>
      <c r="P7" s="139"/>
    </row>
    <row r="8" spans="1:16" s="9" customFormat="1" ht="15" customHeight="1">
      <c r="A8" s="141"/>
      <c r="B8" s="15"/>
      <c r="C8" s="569"/>
      <c r="D8" s="569"/>
      <c r="E8" s="571"/>
      <c r="F8" s="19"/>
      <c r="G8" s="19"/>
      <c r="H8" s="19"/>
      <c r="I8" s="19"/>
      <c r="J8" s="19"/>
      <c r="M8" s="8"/>
      <c r="N8" s="8"/>
      <c r="O8" s="8"/>
      <c r="P8" s="8"/>
    </row>
    <row r="9" spans="1:16" s="9" customFormat="1" ht="9.75" customHeight="1">
      <c r="A9" s="209"/>
      <c r="B9" s="25"/>
      <c r="C9" s="487"/>
      <c r="D9" s="488"/>
      <c r="E9" s="487"/>
      <c r="F9" s="223"/>
      <c r="G9" s="223"/>
      <c r="H9" s="223"/>
      <c r="I9" s="223"/>
      <c r="J9" s="223"/>
      <c r="M9" s="8"/>
      <c r="N9" s="8"/>
      <c r="O9" s="8"/>
      <c r="P9" s="8"/>
    </row>
    <row r="10" spans="1:16" s="9" customFormat="1" ht="15" customHeight="1">
      <c r="A10" s="216" t="s">
        <v>119</v>
      </c>
      <c r="B10" s="26" t="s">
        <v>437</v>
      </c>
      <c r="C10" s="441">
        <v>86216.5</v>
      </c>
      <c r="D10" s="441">
        <v>90139.7</v>
      </c>
      <c r="E10" s="441">
        <v>89304.858</v>
      </c>
      <c r="F10" s="441">
        <v>85240.4</v>
      </c>
      <c r="G10" s="441">
        <v>87768.4</v>
      </c>
      <c r="H10" s="441">
        <v>89304.858</v>
      </c>
      <c r="I10" s="441">
        <v>90570.6</v>
      </c>
      <c r="J10" s="441">
        <v>92219.4</v>
      </c>
      <c r="M10" s="8"/>
      <c r="N10" s="8"/>
      <c r="O10" s="8"/>
      <c r="P10" s="8"/>
    </row>
    <row r="11" spans="1:16" s="9" customFormat="1" ht="15" customHeight="1">
      <c r="A11" s="52"/>
      <c r="B11" s="26" t="s">
        <v>438</v>
      </c>
      <c r="C11" s="441">
        <v>10.029671697029642</v>
      </c>
      <c r="D11" s="441">
        <v>4.550405084873543</v>
      </c>
      <c r="E11" s="489">
        <v>-0.9261646089347986</v>
      </c>
      <c r="F11" s="489">
        <v>-3.0937328405431064</v>
      </c>
      <c r="G11" s="489">
        <v>-0.8918428784686294</v>
      </c>
      <c r="H11" s="489">
        <v>-0.9261646089347986</v>
      </c>
      <c r="I11" s="441">
        <v>-0.17387537722560742</v>
      </c>
      <c r="J11" s="441">
        <v>8.18728912581359</v>
      </c>
      <c r="M11" s="8"/>
      <c r="N11" s="8"/>
      <c r="O11" s="8"/>
      <c r="P11" s="8"/>
    </row>
    <row r="12" spans="1:16" s="9" customFormat="1" ht="15" customHeight="1">
      <c r="A12" s="52"/>
      <c r="B12" s="26"/>
      <c r="C12" s="218"/>
      <c r="D12" s="490"/>
      <c r="E12" s="218"/>
      <c r="F12" s="218"/>
      <c r="G12" s="218"/>
      <c r="H12" s="218"/>
      <c r="I12" s="441"/>
      <c r="J12" s="441"/>
      <c r="M12" s="8"/>
      <c r="N12" s="8"/>
      <c r="O12" s="8"/>
      <c r="P12" s="8"/>
    </row>
    <row r="13" spans="1:16" s="9" customFormat="1" ht="15" customHeight="1">
      <c r="A13" s="52" t="s">
        <v>120</v>
      </c>
      <c r="B13" s="26" t="s">
        <v>437</v>
      </c>
      <c r="C13" s="441">
        <v>25796.2</v>
      </c>
      <c r="D13" s="441">
        <v>28168.9</v>
      </c>
      <c r="E13" s="441">
        <v>23132.4</v>
      </c>
      <c r="F13" s="441">
        <v>23076.5</v>
      </c>
      <c r="G13" s="441">
        <v>23547.2</v>
      </c>
      <c r="H13" s="441">
        <v>23132.4</v>
      </c>
      <c r="I13" s="441">
        <v>24031.9</v>
      </c>
      <c r="J13" s="441">
        <v>25109.9</v>
      </c>
      <c r="M13" s="8"/>
      <c r="N13" s="8"/>
      <c r="O13" s="8"/>
      <c r="P13" s="8"/>
    </row>
    <row r="14" spans="1:16" s="9" customFormat="1" ht="15" customHeight="1">
      <c r="A14" s="52"/>
      <c r="B14" s="26" t="s">
        <v>438</v>
      </c>
      <c r="C14" s="441">
        <v>6.684918816532814</v>
      </c>
      <c r="D14" s="489">
        <v>9.19786635240849</v>
      </c>
      <c r="E14" s="489">
        <v>-17.87964741257202</v>
      </c>
      <c r="F14" s="489">
        <v>-13.76526993546362</v>
      </c>
      <c r="G14" s="489">
        <v>-13.848765567604747</v>
      </c>
      <c r="H14" s="489">
        <v>-17.87964741257202</v>
      </c>
      <c r="I14" s="441">
        <v>-15.732243981976602</v>
      </c>
      <c r="J14" s="441">
        <v>8.81156154529501</v>
      </c>
      <c r="M14" s="8"/>
      <c r="N14" s="8"/>
      <c r="O14" s="8"/>
      <c r="P14" s="8"/>
    </row>
    <row r="15" spans="1:16" s="9" customFormat="1" ht="15" customHeight="1">
      <c r="A15" s="52"/>
      <c r="B15" s="26"/>
      <c r="C15" s="218"/>
      <c r="D15" s="490"/>
      <c r="E15" s="218"/>
      <c r="F15" s="218"/>
      <c r="G15" s="218"/>
      <c r="H15" s="218"/>
      <c r="I15" s="441"/>
      <c r="J15" s="441"/>
      <c r="M15" s="8"/>
      <c r="N15" s="8"/>
      <c r="O15" s="8"/>
      <c r="P15" s="8"/>
    </row>
    <row r="16" spans="1:16" s="9" customFormat="1" ht="15" customHeight="1">
      <c r="A16" s="52" t="s">
        <v>121</v>
      </c>
      <c r="B16" s="26" t="s">
        <v>437</v>
      </c>
      <c r="C16" s="441">
        <v>45529.7</v>
      </c>
      <c r="D16" s="441">
        <v>46702.3</v>
      </c>
      <c r="E16" s="441">
        <v>47390.7</v>
      </c>
      <c r="F16" s="441">
        <v>45971.2</v>
      </c>
      <c r="G16" s="441">
        <v>46649.2</v>
      </c>
      <c r="H16" s="441">
        <v>47390.7</v>
      </c>
      <c r="I16" s="441">
        <v>47917.8</v>
      </c>
      <c r="J16" s="441">
        <v>48234.6</v>
      </c>
      <c r="M16" s="8"/>
      <c r="N16" s="8"/>
      <c r="O16" s="8"/>
      <c r="P16" s="8"/>
    </row>
    <row r="17" spans="1:16" s="9" customFormat="1" ht="15" customHeight="1">
      <c r="A17" s="52"/>
      <c r="B17" s="26" t="s">
        <v>438</v>
      </c>
      <c r="C17" s="441">
        <v>9.449025216952322</v>
      </c>
      <c r="D17" s="441">
        <v>2.5754617315730366</v>
      </c>
      <c r="E17" s="441">
        <v>1.4740173396170952</v>
      </c>
      <c r="F17" s="489">
        <v>-0.29604599665565834</v>
      </c>
      <c r="G17" s="489">
        <v>1.3883817571679336</v>
      </c>
      <c r="H17" s="489">
        <v>1.4740173396170952</v>
      </c>
      <c r="I17" s="441">
        <v>3.0998061410888456</v>
      </c>
      <c r="J17" s="441">
        <v>4.923517332590843</v>
      </c>
      <c r="M17" s="8"/>
      <c r="N17" s="8"/>
      <c r="O17" s="8"/>
      <c r="P17" s="8"/>
    </row>
    <row r="18" spans="1:16" s="9" customFormat="1" ht="15" customHeight="1">
      <c r="A18" s="52"/>
      <c r="B18" s="26"/>
      <c r="C18" s="218"/>
      <c r="D18" s="490"/>
      <c r="E18" s="218"/>
      <c r="F18" s="218"/>
      <c r="G18" s="218"/>
      <c r="H18" s="218"/>
      <c r="I18" s="441"/>
      <c r="J18" s="441"/>
      <c r="M18" s="8"/>
      <c r="N18" s="8"/>
      <c r="O18" s="8"/>
      <c r="P18" s="8"/>
    </row>
    <row r="19" spans="1:16" s="9" customFormat="1" ht="15" customHeight="1">
      <c r="A19" s="52" t="s">
        <v>122</v>
      </c>
      <c r="B19" s="26" t="s">
        <v>437</v>
      </c>
      <c r="C19" s="441">
        <v>14890.5</v>
      </c>
      <c r="D19" s="441">
        <v>15268.4</v>
      </c>
      <c r="E19" s="218">
        <v>18781.8</v>
      </c>
      <c r="F19" s="441">
        <v>16192.6</v>
      </c>
      <c r="G19" s="441">
        <v>17572</v>
      </c>
      <c r="H19" s="441">
        <v>18781.8</v>
      </c>
      <c r="I19" s="441">
        <v>18620.8</v>
      </c>
      <c r="J19" s="441">
        <v>18874.9</v>
      </c>
      <c r="M19" s="8"/>
      <c r="N19" s="8"/>
      <c r="O19" s="8"/>
      <c r="P19" s="8"/>
    </row>
    <row r="20" spans="1:16" s="9" customFormat="1" ht="15" customHeight="1">
      <c r="A20" s="52"/>
      <c r="B20" s="26" t="s">
        <v>438</v>
      </c>
      <c r="C20" s="441">
        <v>18.377746684898398</v>
      </c>
      <c r="D20" s="441">
        <v>2.537859709210566</v>
      </c>
      <c r="E20" s="218">
        <v>23.010924523853184</v>
      </c>
      <c r="F20" s="489">
        <v>7.278388763747179</v>
      </c>
      <c r="G20" s="489">
        <v>15.48825532026763</v>
      </c>
      <c r="H20" s="441">
        <v>23.010924523853184</v>
      </c>
      <c r="I20" s="441">
        <v>18.357306755992276</v>
      </c>
      <c r="J20" s="441">
        <v>16.564974123982566</v>
      </c>
      <c r="M20" s="8"/>
      <c r="N20" s="8"/>
      <c r="O20" s="8"/>
      <c r="P20" s="8"/>
    </row>
    <row r="21" spans="1:16" s="9" customFormat="1" ht="15" customHeight="1">
      <c r="A21" s="52"/>
      <c r="B21" s="26"/>
      <c r="C21" s="218"/>
      <c r="D21" s="490"/>
      <c r="E21" s="218"/>
      <c r="F21" s="218"/>
      <c r="G21" s="218"/>
      <c r="H21" s="218"/>
      <c r="I21" s="441"/>
      <c r="J21" s="441"/>
      <c r="M21" s="8"/>
      <c r="N21" s="8"/>
      <c r="O21" s="8"/>
      <c r="P21" s="8"/>
    </row>
    <row r="22" spans="1:16" s="9" customFormat="1" ht="15" customHeight="1">
      <c r="A22" s="171" t="s">
        <v>123</v>
      </c>
      <c r="B22" s="26" t="s">
        <v>437</v>
      </c>
      <c r="C22" s="441">
        <v>5660.9</v>
      </c>
      <c r="D22" s="441">
        <v>5153.4</v>
      </c>
      <c r="E22" s="441">
        <v>4408.7</v>
      </c>
      <c r="F22" s="441">
        <v>4785.8</v>
      </c>
      <c r="G22" s="441">
        <v>4508</v>
      </c>
      <c r="H22" s="441">
        <v>4408.7</v>
      </c>
      <c r="I22" s="441">
        <v>4929</v>
      </c>
      <c r="J22" s="441">
        <v>4994.6</v>
      </c>
      <c r="M22" s="8"/>
      <c r="N22" s="8"/>
      <c r="O22" s="8"/>
      <c r="P22" s="8"/>
    </row>
    <row r="23" spans="1:16" s="9" customFormat="1" ht="15" customHeight="1">
      <c r="A23" s="52"/>
      <c r="B23" s="26" t="s">
        <v>438</v>
      </c>
      <c r="C23" s="489">
        <v>3.231394861133907</v>
      </c>
      <c r="D23" s="489">
        <v>-8.965005564486217</v>
      </c>
      <c r="E23" s="489">
        <v>-14.450653937206503</v>
      </c>
      <c r="F23" s="489">
        <v>0.10877295736937409</v>
      </c>
      <c r="G23" s="489">
        <v>-4.363875511806004</v>
      </c>
      <c r="H23" s="489">
        <v>-14.450653937206503</v>
      </c>
      <c r="I23" s="441">
        <v>0.172746672086177</v>
      </c>
      <c r="J23" s="441">
        <v>4.362906933010158</v>
      </c>
      <c r="M23" s="8"/>
      <c r="N23" s="8"/>
      <c r="O23" s="8"/>
      <c r="P23" s="8"/>
    </row>
    <row r="24" spans="1:16" s="9" customFormat="1" ht="15" customHeight="1">
      <c r="A24" s="52"/>
      <c r="B24" s="26"/>
      <c r="C24" s="218"/>
      <c r="D24" s="490"/>
      <c r="E24" s="218"/>
      <c r="F24" s="218"/>
      <c r="G24" s="218"/>
      <c r="H24" s="218"/>
      <c r="I24" s="441"/>
      <c r="J24" s="441"/>
      <c r="M24" s="8"/>
      <c r="N24" s="8"/>
      <c r="O24" s="8"/>
      <c r="P24" s="8"/>
    </row>
    <row r="25" spans="1:16" s="9" customFormat="1" ht="15" customHeight="1">
      <c r="A25" s="52" t="s">
        <v>124</v>
      </c>
      <c r="B25" s="26" t="s">
        <v>437</v>
      </c>
      <c r="C25" s="441">
        <v>1554.6</v>
      </c>
      <c r="D25" s="490">
        <v>1819.5</v>
      </c>
      <c r="E25" s="441">
        <v>1740</v>
      </c>
      <c r="F25" s="441">
        <v>1688.9</v>
      </c>
      <c r="G25" s="441">
        <v>1686.3</v>
      </c>
      <c r="H25" s="441">
        <v>1740</v>
      </c>
      <c r="I25" s="441">
        <v>1806.6</v>
      </c>
      <c r="J25" s="441">
        <v>1835.9</v>
      </c>
      <c r="M25" s="8"/>
      <c r="N25" s="8"/>
      <c r="O25" s="8"/>
      <c r="P25" s="8"/>
    </row>
    <row r="26" spans="1:16" s="9" customFormat="1" ht="15" customHeight="1">
      <c r="A26" s="52"/>
      <c r="B26" s="26" t="s">
        <v>438</v>
      </c>
      <c r="C26" s="441">
        <v>2.390831851412756</v>
      </c>
      <c r="D26" s="441">
        <v>17.039752991123123</v>
      </c>
      <c r="E26" s="489">
        <v>-4.369332234130252</v>
      </c>
      <c r="F26" s="489">
        <v>7.102542964043379</v>
      </c>
      <c r="G26" s="489">
        <v>5.545471615447206</v>
      </c>
      <c r="H26" s="489">
        <v>-4.369332234130252</v>
      </c>
      <c r="I26" s="441">
        <v>7.11490572749911</v>
      </c>
      <c r="J26" s="441">
        <v>8.703890105986133</v>
      </c>
      <c r="M26" s="8"/>
      <c r="N26" s="8"/>
      <c r="O26" s="8"/>
      <c r="P26" s="8"/>
    </row>
    <row r="27" spans="1:16" s="9" customFormat="1" ht="15" customHeight="1">
      <c r="A27" s="52"/>
      <c r="B27" s="26"/>
      <c r="C27" s="218"/>
      <c r="D27" s="490"/>
      <c r="E27" s="218"/>
      <c r="F27" s="218"/>
      <c r="G27" s="218"/>
      <c r="H27" s="218"/>
      <c r="I27" s="441"/>
      <c r="J27" s="441"/>
      <c r="M27" s="8"/>
      <c r="N27" s="8"/>
      <c r="O27" s="8"/>
      <c r="P27" s="8"/>
    </row>
    <row r="28" spans="1:16" s="9" customFormat="1" ht="15" customHeight="1">
      <c r="A28" s="52" t="s">
        <v>125</v>
      </c>
      <c r="B28" s="26" t="s">
        <v>437</v>
      </c>
      <c r="C28" s="441">
        <v>4106.3</v>
      </c>
      <c r="D28" s="441">
        <v>3333.9</v>
      </c>
      <c r="E28" s="441">
        <v>2668.6</v>
      </c>
      <c r="F28" s="441">
        <v>3096.9</v>
      </c>
      <c r="G28" s="441">
        <v>2821.7</v>
      </c>
      <c r="H28" s="441">
        <v>2668.6</v>
      </c>
      <c r="I28" s="441">
        <v>3122.4</v>
      </c>
      <c r="J28" s="441">
        <v>3158.8</v>
      </c>
      <c r="M28" s="8"/>
      <c r="N28" s="8"/>
      <c r="O28" s="8"/>
      <c r="P28" s="8"/>
    </row>
    <row r="29" spans="1:16" s="9" customFormat="1" ht="15" customHeight="1">
      <c r="A29" s="52"/>
      <c r="B29" s="26" t="s">
        <v>438</v>
      </c>
      <c r="C29" s="489">
        <v>3.553235486962225</v>
      </c>
      <c r="D29" s="489">
        <v>-18.810121033533843</v>
      </c>
      <c r="E29" s="489">
        <v>-19.955607546717058</v>
      </c>
      <c r="F29" s="489">
        <v>-3.3336454724225084</v>
      </c>
      <c r="G29" s="489">
        <v>-9.441894797650763</v>
      </c>
      <c r="H29" s="489">
        <v>-19.955607546717058</v>
      </c>
      <c r="I29" s="441">
        <v>-3.444863627929995</v>
      </c>
      <c r="J29" s="441">
        <v>1.9987729665148946</v>
      </c>
      <c r="M29" s="8"/>
      <c r="N29" s="8"/>
      <c r="O29" s="8"/>
      <c r="P29" s="8"/>
    </row>
    <row r="30" spans="1:16" s="9" customFormat="1" ht="15" customHeight="1">
      <c r="A30" s="52"/>
      <c r="B30" s="26"/>
      <c r="C30" s="218"/>
      <c r="D30" s="490"/>
      <c r="E30" s="218"/>
      <c r="F30" s="218"/>
      <c r="G30" s="218"/>
      <c r="H30" s="218"/>
      <c r="I30" s="441"/>
      <c r="J30" s="441"/>
      <c r="M30" s="8"/>
      <c r="N30" s="8"/>
      <c r="O30" s="8"/>
      <c r="P30" s="8"/>
    </row>
    <row r="31" spans="1:16" s="9" customFormat="1" ht="15" customHeight="1">
      <c r="A31" s="171" t="s">
        <v>126</v>
      </c>
      <c r="B31" s="26" t="s">
        <v>437</v>
      </c>
      <c r="C31" s="441">
        <v>80555.6</v>
      </c>
      <c r="D31" s="441">
        <v>84986.3</v>
      </c>
      <c r="E31" s="441">
        <v>84896.2</v>
      </c>
      <c r="F31" s="441">
        <v>80454.6</v>
      </c>
      <c r="G31" s="441">
        <v>83260.4</v>
      </c>
      <c r="H31" s="441">
        <v>84896.2</v>
      </c>
      <c r="I31" s="441">
        <v>85641.5</v>
      </c>
      <c r="J31" s="441">
        <v>87224.8</v>
      </c>
      <c r="M31" s="8"/>
      <c r="N31" s="8"/>
      <c r="O31" s="8"/>
      <c r="P31" s="8"/>
    </row>
    <row r="32" spans="1:16" s="9" customFormat="1" ht="15" customHeight="1">
      <c r="A32" s="8"/>
      <c r="B32" s="26" t="s">
        <v>438</v>
      </c>
      <c r="C32" s="441">
        <v>10.541085354290104</v>
      </c>
      <c r="D32" s="441">
        <v>5.500176275764801</v>
      </c>
      <c r="E32" s="489">
        <v>-0.10601708745998639</v>
      </c>
      <c r="F32" s="489">
        <v>-3.277787862867887</v>
      </c>
      <c r="G32" s="489">
        <v>-0.6966467687206768</v>
      </c>
      <c r="H32" s="489">
        <v>-0.10601708745998639</v>
      </c>
      <c r="I32" s="441">
        <v>-0.19368891136809507</v>
      </c>
      <c r="J32" s="441">
        <v>8.414932148068587</v>
      </c>
      <c r="M32" s="8"/>
      <c r="N32" s="8"/>
      <c r="O32" s="8"/>
      <c r="P32" s="8"/>
    </row>
    <row r="33" spans="1:16" s="9" customFormat="1" ht="15" customHeight="1">
      <c r="A33" s="8"/>
      <c r="B33" s="26"/>
      <c r="C33" s="218"/>
      <c r="D33" s="490"/>
      <c r="E33" s="218"/>
      <c r="F33" s="218"/>
      <c r="G33" s="218"/>
      <c r="H33" s="218"/>
      <c r="I33" s="441"/>
      <c r="J33" s="441"/>
      <c r="M33" s="8"/>
      <c r="N33" s="8"/>
      <c r="O33" s="8"/>
      <c r="P33" s="8"/>
    </row>
    <row r="34" spans="1:16" s="9" customFormat="1" ht="15" customHeight="1">
      <c r="A34" s="209" t="s">
        <v>127</v>
      </c>
      <c r="B34" s="26" t="s">
        <v>437</v>
      </c>
      <c r="C34" s="441">
        <v>52873.341</v>
      </c>
      <c r="D34" s="441">
        <v>58851.47900000001</v>
      </c>
      <c r="E34" s="441">
        <v>74388.03600000001</v>
      </c>
      <c r="F34" s="441">
        <v>65456.019</v>
      </c>
      <c r="G34" s="441">
        <v>69822.5</v>
      </c>
      <c r="H34" s="441">
        <v>74388.03600000001</v>
      </c>
      <c r="I34" s="441">
        <v>76305.474</v>
      </c>
      <c r="J34" s="441">
        <v>78107.7</v>
      </c>
      <c r="M34" s="8"/>
      <c r="N34" s="8"/>
      <c r="O34" s="8"/>
      <c r="P34" s="8"/>
    </row>
    <row r="35" spans="1:16" s="9" customFormat="1" ht="15" customHeight="1">
      <c r="A35" s="8"/>
      <c r="B35" s="26" t="s">
        <v>438</v>
      </c>
      <c r="C35" s="441">
        <v>23.534304505788484</v>
      </c>
      <c r="D35" s="441">
        <v>11.306651939636826</v>
      </c>
      <c r="E35" s="489">
        <v>26.399603313282903</v>
      </c>
      <c r="F35" s="489">
        <v>21.313900553248</v>
      </c>
      <c r="G35" s="489">
        <v>25.129633558662977</v>
      </c>
      <c r="H35" s="489">
        <v>26.399603313282928</v>
      </c>
      <c r="I35" s="441">
        <v>26.7097094520655</v>
      </c>
      <c r="J35" s="441">
        <v>19.328622781046324</v>
      </c>
      <c r="M35" s="8"/>
      <c r="N35" s="8"/>
      <c r="O35" s="8"/>
      <c r="P35" s="8"/>
    </row>
    <row r="36" spans="1:16" s="9" customFormat="1" ht="15" customHeight="1">
      <c r="A36" s="8"/>
      <c r="B36" s="26"/>
      <c r="C36" s="218"/>
      <c r="D36" s="490"/>
      <c r="E36" s="218"/>
      <c r="F36" s="218"/>
      <c r="G36" s="218"/>
      <c r="H36" s="218"/>
      <c r="I36" s="441"/>
      <c r="J36" s="441"/>
      <c r="M36" s="8"/>
      <c r="N36" s="8"/>
      <c r="O36" s="8"/>
      <c r="P36" s="8"/>
    </row>
    <row r="37" spans="1:16" s="9" customFormat="1" ht="15" customHeight="1">
      <c r="A37" s="52" t="s">
        <v>128</v>
      </c>
      <c r="B37" s="26" t="s">
        <v>437</v>
      </c>
      <c r="C37" s="441">
        <v>115122.432</v>
      </c>
      <c r="D37" s="441">
        <v>80966.406</v>
      </c>
      <c r="E37" s="441">
        <v>93984.236</v>
      </c>
      <c r="F37" s="441">
        <v>85915.719</v>
      </c>
      <c r="G37" s="441">
        <v>89527.7</v>
      </c>
      <c r="H37" s="441">
        <v>93984.236</v>
      </c>
      <c r="I37" s="441">
        <v>94033.763</v>
      </c>
      <c r="J37" s="441">
        <v>95995.5</v>
      </c>
      <c r="M37" s="8"/>
      <c r="N37" s="8"/>
      <c r="O37" s="8"/>
      <c r="P37" s="8"/>
    </row>
    <row r="38" spans="1:16" s="9" customFormat="1" ht="15" customHeight="1">
      <c r="A38" s="8"/>
      <c r="B38" s="26" t="s">
        <v>438</v>
      </c>
      <c r="C38" s="441">
        <v>8.627762733368538</v>
      </c>
      <c r="D38" s="489">
        <v>-29.669305457341277</v>
      </c>
      <c r="E38" s="489">
        <v>16.078063289606813</v>
      </c>
      <c r="F38" s="489">
        <v>11.131181918573162</v>
      </c>
      <c r="G38" s="489">
        <v>14.32361815082237</v>
      </c>
      <c r="H38" s="489">
        <v>16.078063289606813</v>
      </c>
      <c r="I38" s="441">
        <v>21.197052360238455</v>
      </c>
      <c r="J38" s="441">
        <v>11.73208129702088</v>
      </c>
      <c r="M38" s="8"/>
      <c r="N38" s="8"/>
      <c r="O38" s="8"/>
      <c r="P38" s="8"/>
    </row>
    <row r="39" spans="1:16" s="9" customFormat="1" ht="15" customHeight="1">
      <c r="A39" s="8"/>
      <c r="B39" s="26"/>
      <c r="C39" s="218"/>
      <c r="D39" s="490"/>
      <c r="E39" s="218"/>
      <c r="F39" s="218"/>
      <c r="G39" s="218"/>
      <c r="H39" s="218"/>
      <c r="I39" s="441"/>
      <c r="J39" s="441"/>
      <c r="M39" s="8"/>
      <c r="N39" s="8"/>
      <c r="O39" s="8"/>
      <c r="P39" s="8"/>
    </row>
    <row r="40" spans="1:16" s="9" customFormat="1" ht="15" customHeight="1">
      <c r="A40" s="52" t="s">
        <v>129</v>
      </c>
      <c r="B40" s="26" t="s">
        <v>437</v>
      </c>
      <c r="C40" s="441">
        <v>62249.091</v>
      </c>
      <c r="D40" s="441">
        <v>22114.927</v>
      </c>
      <c r="E40" s="441">
        <v>19596.2</v>
      </c>
      <c r="F40" s="441">
        <v>20459.7</v>
      </c>
      <c r="G40" s="441">
        <v>19705.3</v>
      </c>
      <c r="H40" s="441">
        <v>19596.2</v>
      </c>
      <c r="I40" s="441">
        <v>17728.4</v>
      </c>
      <c r="J40" s="441">
        <v>17887.655</v>
      </c>
      <c r="M40" s="8"/>
      <c r="N40" s="8"/>
      <c r="O40" s="8"/>
      <c r="P40" s="8"/>
    </row>
    <row r="41" spans="1:16" s="9" customFormat="1" ht="15" customHeight="1">
      <c r="A41" s="8"/>
      <c r="B41" s="26" t="s">
        <v>438</v>
      </c>
      <c r="C41" s="489">
        <v>-1.4708924858895966</v>
      </c>
      <c r="D41" s="489">
        <v>-64.47349407881313</v>
      </c>
      <c r="E41" s="489">
        <v>-11.389262103374787</v>
      </c>
      <c r="F41" s="489">
        <v>-12.394186382688355</v>
      </c>
      <c r="G41" s="489">
        <v>-12.46261504238535</v>
      </c>
      <c r="H41" s="489">
        <v>-11.389262103374787</v>
      </c>
      <c r="I41" s="441">
        <v>2.081494575857401</v>
      </c>
      <c r="J41" s="441">
        <v>-12.571274261108433</v>
      </c>
      <c r="M41" s="8"/>
      <c r="N41" s="8"/>
      <c r="O41" s="8"/>
      <c r="P41" s="8"/>
    </row>
    <row r="42" spans="1:16" s="9" customFormat="1" ht="15" customHeight="1">
      <c r="A42" s="8"/>
      <c r="B42" s="26"/>
      <c r="C42" s="218"/>
      <c r="D42" s="490"/>
      <c r="E42" s="218"/>
      <c r="F42" s="218"/>
      <c r="G42" s="218"/>
      <c r="H42" s="218"/>
      <c r="I42" s="441"/>
      <c r="J42" s="441"/>
      <c r="M42" s="8"/>
      <c r="N42" s="8"/>
      <c r="O42" s="8"/>
      <c r="P42" s="8"/>
    </row>
    <row r="43" spans="1:16" s="9" customFormat="1" ht="15" customHeight="1">
      <c r="A43" s="209" t="s">
        <v>130</v>
      </c>
      <c r="B43" s="26" t="s">
        <v>437</v>
      </c>
      <c r="C43" s="441">
        <v>41984.1</v>
      </c>
      <c r="D43" s="441">
        <v>40655.1</v>
      </c>
      <c r="E43" s="441">
        <v>36693.3</v>
      </c>
      <c r="F43" s="441">
        <v>40156.6</v>
      </c>
      <c r="G43" s="441">
        <v>39644.5</v>
      </c>
      <c r="H43" s="441">
        <v>36693.3</v>
      </c>
      <c r="I43" s="441">
        <v>36146.7</v>
      </c>
      <c r="J43" s="441">
        <v>36342.2</v>
      </c>
      <c r="M43" s="8"/>
      <c r="N43" s="8"/>
      <c r="O43" s="8"/>
      <c r="P43" s="8"/>
    </row>
    <row r="44" spans="1:16" s="9" customFormat="1" ht="15" customHeight="1">
      <c r="A44" s="8"/>
      <c r="B44" s="26" t="s">
        <v>438</v>
      </c>
      <c r="C44" s="489">
        <v>1.3183614960253554</v>
      </c>
      <c r="D44" s="489">
        <v>-3.165484076114533</v>
      </c>
      <c r="E44" s="489">
        <v>-9.744902853516525</v>
      </c>
      <c r="F44" s="489">
        <v>-4.807892890330178</v>
      </c>
      <c r="G44" s="489">
        <v>-4.812612097798508</v>
      </c>
      <c r="H44" s="489">
        <v>-9.744902853516525</v>
      </c>
      <c r="I44" s="441">
        <v>-10.633926606820143</v>
      </c>
      <c r="J44" s="441">
        <v>-9.498812150431068</v>
      </c>
      <c r="M44" s="8"/>
      <c r="N44" s="8"/>
      <c r="O44" s="8"/>
      <c r="P44" s="8"/>
    </row>
    <row r="45" spans="1:16" s="9" customFormat="1" ht="15" customHeight="1">
      <c r="A45" s="8"/>
      <c r="B45" s="26"/>
      <c r="C45" s="218"/>
      <c r="D45" s="490"/>
      <c r="E45" s="218"/>
      <c r="F45" s="218"/>
      <c r="G45" s="218"/>
      <c r="H45" s="218"/>
      <c r="I45" s="441"/>
      <c r="J45" s="441"/>
      <c r="M45" s="8"/>
      <c r="N45" s="8"/>
      <c r="O45" s="8"/>
      <c r="P45" s="8"/>
    </row>
    <row r="46" spans="1:16" s="9" customFormat="1" ht="15" customHeight="1">
      <c r="A46" s="171" t="s">
        <v>131</v>
      </c>
      <c r="B46" s="26" t="s">
        <v>437</v>
      </c>
      <c r="C46" s="489">
        <v>-6065.2</v>
      </c>
      <c r="D46" s="489">
        <v>-5952.5</v>
      </c>
      <c r="E46" s="489">
        <v>-7932.3</v>
      </c>
      <c r="F46" s="489">
        <v>-5783.1</v>
      </c>
      <c r="G46" s="489">
        <v>-6152.5</v>
      </c>
      <c r="H46" s="489">
        <v>-7932.3</v>
      </c>
      <c r="I46" s="441">
        <v>-7829.3</v>
      </c>
      <c r="J46" s="441">
        <v>-7544.2</v>
      </c>
      <c r="M46" s="8"/>
      <c r="N46" s="8"/>
      <c r="O46" s="8"/>
      <c r="P46" s="8"/>
    </row>
    <row r="47" spans="1:16" s="9" customFormat="1" ht="15" customHeight="1">
      <c r="A47" s="8"/>
      <c r="B47" s="26" t="s">
        <v>438</v>
      </c>
      <c r="C47" s="489">
        <v>17.7243007135299</v>
      </c>
      <c r="D47" s="489">
        <v>1.85814152872122</v>
      </c>
      <c r="E47" s="489">
        <v>-33.259974800504</v>
      </c>
      <c r="F47" s="489">
        <v>7.61083153606518</v>
      </c>
      <c r="G47" s="489">
        <v>6.0227897598827</v>
      </c>
      <c r="H47" s="489">
        <v>-33.259974800504</v>
      </c>
      <c r="I47" s="441">
        <v>-33.930343152348684</v>
      </c>
      <c r="J47" s="441">
        <v>-30.45252546212238</v>
      </c>
      <c r="M47" s="8"/>
      <c r="N47" s="8"/>
      <c r="O47" s="8"/>
      <c r="P47" s="8"/>
    </row>
    <row r="48" spans="1:16" s="9" customFormat="1" ht="15" customHeight="1">
      <c r="A48" s="8"/>
      <c r="B48" s="26"/>
      <c r="C48" s="218"/>
      <c r="D48" s="490"/>
      <c r="E48" s="218"/>
      <c r="F48" s="218"/>
      <c r="G48" s="218"/>
      <c r="H48" s="218"/>
      <c r="I48" s="441"/>
      <c r="J48" s="441"/>
      <c r="M48" s="8"/>
      <c r="N48" s="8"/>
      <c r="O48" s="8"/>
      <c r="P48" s="8"/>
    </row>
    <row r="49" spans="1:16" s="9" customFormat="1" ht="15" customHeight="1">
      <c r="A49" s="52" t="s">
        <v>132</v>
      </c>
      <c r="B49" s="26" t="s">
        <v>437</v>
      </c>
      <c r="C49" s="441">
        <v>48049.3</v>
      </c>
      <c r="D49" s="441">
        <v>46607.6</v>
      </c>
      <c r="E49" s="441">
        <v>44625.5</v>
      </c>
      <c r="F49" s="441">
        <v>45939.7</v>
      </c>
      <c r="G49" s="441">
        <v>45797</v>
      </c>
      <c r="H49" s="441">
        <v>44625.5</v>
      </c>
      <c r="I49" s="441">
        <v>43976</v>
      </c>
      <c r="J49" s="441">
        <v>43886.5</v>
      </c>
      <c r="M49" s="8"/>
      <c r="N49" s="8"/>
      <c r="O49" s="8"/>
      <c r="P49" s="8"/>
    </row>
    <row r="50" spans="1:16" s="9" customFormat="1" ht="15" customHeight="1">
      <c r="A50" s="8"/>
      <c r="B50" s="26" t="s">
        <v>438</v>
      </c>
      <c r="C50" s="489">
        <v>-1.5576853733691665</v>
      </c>
      <c r="D50" s="489">
        <v>-3.0004599442655877</v>
      </c>
      <c r="E50" s="489">
        <v>-4.252739896497559</v>
      </c>
      <c r="F50" s="489">
        <v>-5.1700612868799904</v>
      </c>
      <c r="G50" s="489">
        <v>-4.977197183157045</v>
      </c>
      <c r="H50" s="489">
        <v>-4.252739896497559</v>
      </c>
      <c r="I50" s="441">
        <v>-5.006512765235871</v>
      </c>
      <c r="J50" s="441">
        <v>-4.469336978691629</v>
      </c>
      <c r="M50" s="8"/>
      <c r="N50" s="8"/>
      <c r="O50" s="8"/>
      <c r="P50" s="8"/>
    </row>
    <row r="51" spans="1:16" s="9" customFormat="1" ht="15" customHeight="1">
      <c r="A51" s="8"/>
      <c r="B51" s="26"/>
      <c r="C51" s="218"/>
      <c r="D51" s="490"/>
      <c r="E51" s="218"/>
      <c r="F51" s="218"/>
      <c r="G51" s="218"/>
      <c r="H51" s="218"/>
      <c r="I51" s="441"/>
      <c r="J51" s="441"/>
      <c r="M51" s="8"/>
      <c r="N51" s="8"/>
      <c r="O51" s="8"/>
      <c r="P51" s="8"/>
    </row>
    <row r="52" spans="1:16" s="9" customFormat="1" ht="15" customHeight="1">
      <c r="A52" s="216" t="s">
        <v>133</v>
      </c>
      <c r="B52" s="26" t="s">
        <v>437</v>
      </c>
      <c r="C52" s="441">
        <v>8640.9</v>
      </c>
      <c r="D52" s="441">
        <v>9366.9</v>
      </c>
      <c r="E52" s="441">
        <v>21776.5</v>
      </c>
      <c r="F52" s="441">
        <v>20372.2</v>
      </c>
      <c r="G52" s="441">
        <v>21698.7</v>
      </c>
      <c r="H52" s="441">
        <v>21776.5</v>
      </c>
      <c r="I52" s="441">
        <v>21881.6</v>
      </c>
      <c r="J52" s="441">
        <v>22230.6</v>
      </c>
      <c r="M52" s="8"/>
      <c r="N52" s="8"/>
      <c r="O52" s="8"/>
      <c r="P52" s="8"/>
    </row>
    <row r="53" spans="1:16" s="9" customFormat="1" ht="15" customHeight="1">
      <c r="A53" s="52"/>
      <c r="B53" s="26" t="s">
        <v>438</v>
      </c>
      <c r="C53" s="489">
        <v>46.93658918156001</v>
      </c>
      <c r="D53" s="489">
        <v>8.401902579592413</v>
      </c>
      <c r="E53" s="489">
        <v>132.48353243869371</v>
      </c>
      <c r="F53" s="489">
        <v>149.07934955373517</v>
      </c>
      <c r="G53" s="489">
        <v>144.055157520611</v>
      </c>
      <c r="H53" s="489">
        <v>132.48353243869371</v>
      </c>
      <c r="I53" s="489">
        <v>120.13017715763108</v>
      </c>
      <c r="J53" s="489">
        <v>9.122235202874496</v>
      </c>
      <c r="M53" s="8"/>
      <c r="N53" s="8"/>
      <c r="O53" s="8"/>
      <c r="P53" s="8"/>
    </row>
    <row r="54" spans="1:10" s="9" customFormat="1" ht="9.75" customHeight="1">
      <c r="A54" s="177"/>
      <c r="B54" s="178"/>
      <c r="C54" s="271"/>
      <c r="D54" s="271"/>
      <c r="E54" s="271"/>
      <c r="F54" s="491"/>
      <c r="G54" s="491"/>
      <c r="H54" s="491"/>
      <c r="I54" s="491"/>
      <c r="J54" s="491"/>
    </row>
    <row r="55" spans="1:10" s="9" customFormat="1" ht="4.5" customHeight="1">
      <c r="A55" s="52"/>
      <c r="B55" s="52"/>
      <c r="C55" s="277"/>
      <c r="D55" s="277"/>
      <c r="E55" s="277"/>
      <c r="F55" s="223"/>
      <c r="G55" s="223"/>
      <c r="H55" s="223"/>
      <c r="I55" s="223"/>
      <c r="J55" s="223"/>
    </row>
    <row r="56" ht="16.5">
      <c r="A56" s="492" t="s">
        <v>134</v>
      </c>
    </row>
    <row r="57" ht="16.5">
      <c r="A57" s="492" t="s">
        <v>135</v>
      </c>
    </row>
    <row r="58" ht="16.5">
      <c r="A58" s="492" t="s">
        <v>136</v>
      </c>
    </row>
    <row r="59" ht="16.5">
      <c r="A59" s="492" t="s">
        <v>137</v>
      </c>
    </row>
    <row r="60" ht="16.5">
      <c r="A60" s="459" t="s">
        <v>138</v>
      </c>
    </row>
    <row r="61" ht="16.5">
      <c r="A61" s="493" t="s">
        <v>139</v>
      </c>
    </row>
    <row r="62" ht="16.5">
      <c r="A62" s="24"/>
    </row>
    <row r="99" spans="1:10" s="151" customFormat="1" ht="15" customHeight="1">
      <c r="A99" s="52"/>
      <c r="B99" s="52"/>
      <c r="C99" s="52"/>
      <c r="F99" s="52"/>
      <c r="J99" s="52"/>
    </row>
    <row r="100" spans="1:10" s="151" customFormat="1" ht="15" customHeight="1">
      <c r="A100" s="52"/>
      <c r="B100" s="52"/>
      <c r="C100" s="52"/>
      <c r="F100" s="52"/>
      <c r="J100" s="52"/>
    </row>
    <row r="101" spans="1:10" s="151" customFormat="1" ht="15" customHeight="1">
      <c r="A101" s="52"/>
      <c r="B101" s="52"/>
      <c r="C101" s="52"/>
      <c r="F101" s="52"/>
      <c r="J101" s="52"/>
    </row>
    <row r="102" spans="1:10" s="151" customFormat="1" ht="15" customHeight="1">
      <c r="A102" s="52"/>
      <c r="B102" s="52"/>
      <c r="C102" s="52"/>
      <c r="F102" s="52"/>
      <c r="J102" s="52"/>
    </row>
    <row r="103" spans="1:10" s="151" customFormat="1" ht="15" customHeight="1">
      <c r="A103" s="52"/>
      <c r="B103" s="52"/>
      <c r="C103" s="52"/>
      <c r="F103" s="52"/>
      <c r="J103" s="52"/>
    </row>
    <row r="104" spans="1:10" s="151" customFormat="1" ht="15" customHeight="1">
      <c r="A104" s="52"/>
      <c r="B104" s="52"/>
      <c r="C104" s="52"/>
      <c r="F104" s="52"/>
      <c r="J104" s="52"/>
    </row>
    <row r="105" spans="1:10" s="151" customFormat="1" ht="15" customHeight="1">
      <c r="A105" s="52"/>
      <c r="B105" s="52"/>
      <c r="C105" s="52"/>
      <c r="F105" s="52"/>
      <c r="J105" s="52"/>
    </row>
    <row r="106" spans="1:10" s="151" customFormat="1" ht="15" customHeight="1">
      <c r="A106" s="52"/>
      <c r="B106" s="52"/>
      <c r="C106" s="52"/>
      <c r="F106" s="52"/>
      <c r="J106" s="52"/>
    </row>
    <row r="107" spans="1:10" s="151" customFormat="1" ht="15" customHeight="1">
      <c r="A107" s="52"/>
      <c r="B107" s="52"/>
      <c r="C107" s="52"/>
      <c r="F107" s="52"/>
      <c r="J107" s="52"/>
    </row>
    <row r="108" spans="1:10" s="151" customFormat="1" ht="15" customHeight="1">
      <c r="A108" s="52"/>
      <c r="B108" s="52"/>
      <c r="C108" s="52"/>
      <c r="F108" s="52"/>
      <c r="J108" s="52"/>
    </row>
    <row r="109" spans="1:10" s="151" customFormat="1" ht="15" customHeight="1">
      <c r="A109" s="52"/>
      <c r="B109" s="52"/>
      <c r="C109" s="52"/>
      <c r="F109" s="52"/>
      <c r="J109" s="52"/>
    </row>
    <row r="110" spans="1:10" s="151" customFormat="1" ht="15" customHeight="1">
      <c r="A110" s="52"/>
      <c r="B110" s="52"/>
      <c r="C110" s="52"/>
      <c r="F110" s="52"/>
      <c r="J110" s="52"/>
    </row>
    <row r="111" spans="1:10" s="151" customFormat="1" ht="15" customHeight="1">
      <c r="A111" s="52"/>
      <c r="B111" s="52"/>
      <c r="C111" s="52"/>
      <c r="F111" s="52"/>
      <c r="J111" s="52"/>
    </row>
    <row r="112" spans="1:10" s="151" customFormat="1" ht="15" customHeight="1">
      <c r="A112" s="52"/>
      <c r="B112" s="52"/>
      <c r="C112" s="52"/>
      <c r="F112" s="52"/>
      <c r="J112" s="52"/>
    </row>
    <row r="113" spans="1:10" s="151" customFormat="1" ht="15" customHeight="1">
      <c r="A113" s="52"/>
      <c r="B113" s="52"/>
      <c r="C113" s="52"/>
      <c r="F113" s="52"/>
      <c r="J113" s="52"/>
    </row>
    <row r="114" spans="1:10" s="151" customFormat="1" ht="15" customHeight="1">
      <c r="A114" s="52"/>
      <c r="B114" s="52"/>
      <c r="C114" s="52"/>
      <c r="F114" s="52"/>
      <c r="J114" s="52"/>
    </row>
    <row r="115" spans="1:10" s="151" customFormat="1" ht="15" customHeight="1">
      <c r="A115" s="52"/>
      <c r="B115" s="52"/>
      <c r="C115" s="52"/>
      <c r="F115" s="52"/>
      <c r="J115" s="52"/>
    </row>
    <row r="116" spans="1:10" s="151" customFormat="1" ht="15" customHeight="1">
      <c r="A116" s="52"/>
      <c r="B116" s="52"/>
      <c r="C116" s="52"/>
      <c r="F116" s="52"/>
      <c r="J116" s="52"/>
    </row>
    <row r="117" spans="1:10" s="151" customFormat="1" ht="15" customHeight="1">
      <c r="A117" s="52"/>
      <c r="B117" s="52"/>
      <c r="C117" s="52"/>
      <c r="F117" s="52"/>
      <c r="J117" s="52"/>
    </row>
    <row r="118" spans="1:10" s="151" customFormat="1" ht="15" customHeight="1">
      <c r="A118" s="52"/>
      <c r="B118" s="52"/>
      <c r="C118" s="52"/>
      <c r="F118" s="52"/>
      <c r="J118" s="52"/>
    </row>
    <row r="119" spans="1:10" s="151" customFormat="1" ht="15" customHeight="1">
      <c r="A119" s="52"/>
      <c r="B119" s="52"/>
      <c r="C119" s="52"/>
      <c r="F119" s="52"/>
      <c r="J119" s="52"/>
    </row>
    <row r="120" spans="1:10" s="151" customFormat="1" ht="15" customHeight="1">
      <c r="A120" s="52"/>
      <c r="B120" s="52"/>
      <c r="C120" s="52"/>
      <c r="F120" s="52"/>
      <c r="J120" s="52"/>
    </row>
    <row r="121" spans="1:10" s="151" customFormat="1" ht="15" customHeight="1">
      <c r="A121" s="52"/>
      <c r="B121" s="52"/>
      <c r="C121" s="52"/>
      <c r="F121" s="52"/>
      <c r="J121" s="52"/>
    </row>
    <row r="122" spans="1:10" s="151" customFormat="1" ht="15" customHeight="1">
      <c r="A122" s="52"/>
      <c r="B122" s="52"/>
      <c r="C122" s="52"/>
      <c r="F122" s="52"/>
      <c r="J122" s="52"/>
    </row>
    <row r="123" spans="1:10" s="151" customFormat="1" ht="15" customHeight="1">
      <c r="A123" s="52"/>
      <c r="B123" s="52"/>
      <c r="C123" s="52"/>
      <c r="F123" s="52"/>
      <c r="J123" s="52"/>
    </row>
    <row r="124" spans="1:10" s="151" customFormat="1" ht="15" customHeight="1">
      <c r="A124" s="52"/>
      <c r="B124" s="52"/>
      <c r="C124" s="52"/>
      <c r="F124" s="52"/>
      <c r="J124" s="52"/>
    </row>
    <row r="125" spans="1:10" s="151" customFormat="1" ht="15" customHeight="1">
      <c r="A125" s="52"/>
      <c r="B125" s="52"/>
      <c r="C125" s="52"/>
      <c r="F125" s="52"/>
      <c r="J125" s="52"/>
    </row>
    <row r="126" spans="1:10" s="151" customFormat="1" ht="15" customHeight="1">
      <c r="A126" s="52"/>
      <c r="B126" s="52"/>
      <c r="C126" s="52"/>
      <c r="F126" s="52"/>
      <c r="J126" s="52"/>
    </row>
    <row r="127" spans="1:10" s="151" customFormat="1" ht="15" customHeight="1">
      <c r="A127" s="52"/>
      <c r="B127" s="52"/>
      <c r="C127" s="52"/>
      <c r="F127" s="52"/>
      <c r="J127" s="52"/>
    </row>
    <row r="128" spans="1:10" s="151" customFormat="1" ht="15" customHeight="1">
      <c r="A128" s="52"/>
      <c r="B128" s="52"/>
      <c r="C128" s="52"/>
      <c r="F128" s="52"/>
      <c r="J128" s="52"/>
    </row>
    <row r="129" spans="1:10" s="151" customFormat="1" ht="15" customHeight="1">
      <c r="A129" s="52"/>
      <c r="B129" s="52"/>
      <c r="C129" s="52"/>
      <c r="F129" s="52"/>
      <c r="J129" s="52"/>
    </row>
    <row r="130" spans="1:10" s="151" customFormat="1" ht="15" customHeight="1">
      <c r="A130" s="52"/>
      <c r="B130" s="52"/>
      <c r="C130" s="52"/>
      <c r="F130" s="52"/>
      <c r="J130" s="52"/>
    </row>
    <row r="131" spans="1:10" s="151" customFormat="1" ht="15" customHeight="1">
      <c r="A131" s="52"/>
      <c r="B131" s="52"/>
      <c r="C131" s="52"/>
      <c r="F131" s="52"/>
      <c r="J131" s="52"/>
    </row>
    <row r="132" spans="1:10" s="151" customFormat="1" ht="15" customHeight="1">
      <c r="A132" s="52"/>
      <c r="B132" s="52"/>
      <c r="C132" s="52"/>
      <c r="F132" s="52"/>
      <c r="J132" s="52"/>
    </row>
    <row r="133" spans="1:10" s="151" customFormat="1" ht="15" customHeight="1">
      <c r="A133" s="52"/>
      <c r="B133" s="52"/>
      <c r="C133" s="52"/>
      <c r="F133" s="52"/>
      <c r="J133" s="52"/>
    </row>
    <row r="134" spans="1:10" s="151" customFormat="1" ht="15" customHeight="1">
      <c r="A134" s="52"/>
      <c r="B134" s="52"/>
      <c r="C134" s="52"/>
      <c r="F134" s="52"/>
      <c r="J134" s="52"/>
    </row>
    <row r="135" spans="1:10" s="151" customFormat="1" ht="15" customHeight="1">
      <c r="A135" s="52"/>
      <c r="B135" s="52"/>
      <c r="C135" s="52"/>
      <c r="F135" s="52"/>
      <c r="J135" s="52"/>
    </row>
    <row r="136" spans="1:10" s="151" customFormat="1" ht="15" customHeight="1">
      <c r="A136" s="52"/>
      <c r="B136" s="52"/>
      <c r="C136" s="52"/>
      <c r="F136" s="52"/>
      <c r="J136" s="52"/>
    </row>
    <row r="137" spans="1:10" s="151" customFormat="1" ht="15" customHeight="1">
      <c r="A137" s="52"/>
      <c r="B137" s="52"/>
      <c r="C137" s="52"/>
      <c r="F137" s="52"/>
      <c r="J137" s="52"/>
    </row>
    <row r="138" spans="1:10" s="151" customFormat="1" ht="15" customHeight="1">
      <c r="A138" s="52"/>
      <c r="B138" s="52"/>
      <c r="C138" s="52"/>
      <c r="F138" s="52"/>
      <c r="J138" s="52"/>
    </row>
    <row r="139" spans="1:10" s="151" customFormat="1" ht="15" customHeight="1">
      <c r="A139" s="52"/>
      <c r="B139" s="52"/>
      <c r="C139" s="52"/>
      <c r="F139" s="52"/>
      <c r="J139" s="52"/>
    </row>
    <row r="140" spans="1:10" s="151" customFormat="1" ht="15" customHeight="1">
      <c r="A140" s="52"/>
      <c r="B140" s="52"/>
      <c r="C140" s="52"/>
      <c r="F140" s="52"/>
      <c r="J140" s="52"/>
    </row>
    <row r="141" spans="1:10" s="151" customFormat="1" ht="15" customHeight="1">
      <c r="A141" s="52"/>
      <c r="B141" s="52"/>
      <c r="C141" s="52"/>
      <c r="F141" s="52"/>
      <c r="J141" s="52"/>
    </row>
    <row r="142" spans="1:10" s="151" customFormat="1" ht="15" customHeight="1">
      <c r="A142" s="52"/>
      <c r="B142" s="52"/>
      <c r="C142" s="52"/>
      <c r="F142" s="52"/>
      <c r="J142" s="52"/>
    </row>
    <row r="143" spans="1:10" s="151" customFormat="1" ht="15" customHeight="1">
      <c r="A143" s="52"/>
      <c r="B143" s="52"/>
      <c r="C143" s="52"/>
      <c r="F143" s="52"/>
      <c r="J143" s="52"/>
    </row>
    <row r="144" spans="1:10" s="151" customFormat="1" ht="15" customHeight="1">
      <c r="A144" s="52"/>
      <c r="B144" s="52"/>
      <c r="C144" s="52"/>
      <c r="F144" s="52"/>
      <c r="J144" s="52"/>
    </row>
    <row r="145" spans="1:10" s="151" customFormat="1" ht="15" customHeight="1">
      <c r="A145" s="52"/>
      <c r="B145" s="52"/>
      <c r="C145" s="52"/>
      <c r="F145" s="52"/>
      <c r="J145" s="52"/>
    </row>
    <row r="146" spans="1:10" s="151" customFormat="1" ht="15" customHeight="1">
      <c r="A146" s="52"/>
      <c r="B146" s="52"/>
      <c r="C146" s="52"/>
      <c r="F146" s="52"/>
      <c r="J146" s="52"/>
    </row>
    <row r="147" spans="1:10" s="151" customFormat="1" ht="15" customHeight="1">
      <c r="A147" s="52"/>
      <c r="B147" s="52"/>
      <c r="C147" s="52"/>
      <c r="F147" s="52"/>
      <c r="J147" s="52"/>
    </row>
    <row r="148" spans="1:10" s="151" customFormat="1" ht="15" customHeight="1">
      <c r="A148" s="52"/>
      <c r="B148" s="52"/>
      <c r="C148" s="52"/>
      <c r="F148" s="52"/>
      <c r="J148" s="52"/>
    </row>
    <row r="149" spans="1:10" s="151" customFormat="1" ht="15" customHeight="1">
      <c r="A149" s="52"/>
      <c r="B149" s="52"/>
      <c r="C149" s="52"/>
      <c r="F149" s="52"/>
      <c r="J149" s="52"/>
    </row>
    <row r="150" spans="1:10" s="151" customFormat="1" ht="15" customHeight="1">
      <c r="A150" s="52"/>
      <c r="B150" s="52"/>
      <c r="C150" s="52"/>
      <c r="F150" s="52"/>
      <c r="J150" s="52"/>
    </row>
    <row r="151" spans="1:10" s="151" customFormat="1" ht="15" customHeight="1">
      <c r="A151" s="52"/>
      <c r="B151" s="52"/>
      <c r="C151" s="52"/>
      <c r="F151" s="52"/>
      <c r="J151" s="52"/>
    </row>
    <row r="152" spans="1:10" s="151" customFormat="1" ht="15" customHeight="1">
      <c r="A152" s="52"/>
      <c r="B152" s="52"/>
      <c r="C152" s="52"/>
      <c r="F152" s="52"/>
      <c r="J152" s="52"/>
    </row>
    <row r="153" spans="1:10" s="151" customFormat="1" ht="15" customHeight="1">
      <c r="A153" s="52"/>
      <c r="B153" s="52"/>
      <c r="C153" s="52"/>
      <c r="F153" s="52"/>
      <c r="J153" s="52"/>
    </row>
    <row r="154" spans="1:10" s="151" customFormat="1" ht="15" customHeight="1">
      <c r="A154" s="52"/>
      <c r="B154" s="52"/>
      <c r="C154" s="52"/>
      <c r="F154" s="52"/>
      <c r="J154" s="52"/>
    </row>
    <row r="155" spans="1:10" s="151" customFormat="1" ht="15" customHeight="1">
      <c r="A155" s="52"/>
      <c r="B155" s="52"/>
      <c r="C155" s="52"/>
      <c r="F155" s="52"/>
      <c r="J155" s="52"/>
    </row>
    <row r="156" spans="1:10" s="151" customFormat="1" ht="15" customHeight="1">
      <c r="A156" s="52"/>
      <c r="B156" s="52"/>
      <c r="C156" s="52"/>
      <c r="F156" s="52"/>
      <c r="J156" s="52"/>
    </row>
    <row r="157" spans="1:10" s="151" customFormat="1" ht="15" customHeight="1">
      <c r="A157" s="52"/>
      <c r="B157" s="52"/>
      <c r="C157" s="52"/>
      <c r="F157" s="52"/>
      <c r="J157" s="52"/>
    </row>
    <row r="158" spans="1:10" s="151" customFormat="1" ht="15" customHeight="1">
      <c r="A158" s="52"/>
      <c r="B158" s="52"/>
      <c r="C158" s="52"/>
      <c r="F158" s="52"/>
      <c r="J158" s="52"/>
    </row>
    <row r="159" spans="1:10" s="151" customFormat="1" ht="15" customHeight="1">
      <c r="A159" s="52"/>
      <c r="B159" s="52"/>
      <c r="C159" s="52"/>
      <c r="F159" s="52"/>
      <c r="J159" s="52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Q6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2.50390625" style="24" customWidth="1"/>
    <col min="2" max="2" width="10.375" style="24" customWidth="1"/>
    <col min="3" max="5" width="9.125" style="24" customWidth="1"/>
    <col min="6" max="10" width="9.375" style="24" customWidth="1"/>
    <col min="11" max="16384" width="9.00390625" style="24" customWidth="1"/>
  </cols>
  <sheetData>
    <row r="1" spans="1:10" s="9" customFormat="1" ht="15" customHeight="1">
      <c r="A1" s="1" t="s">
        <v>114</v>
      </c>
      <c r="B1" s="4"/>
      <c r="C1" s="8"/>
      <c r="F1" s="8"/>
      <c r="J1" s="8"/>
    </row>
    <row r="2" spans="1:10" s="9" customFormat="1" ht="15" customHeight="1">
      <c r="A2" s="4"/>
      <c r="B2" s="4"/>
      <c r="C2" s="8"/>
      <c r="F2" s="8"/>
      <c r="J2" s="8"/>
    </row>
    <row r="3" spans="1:10" s="9" customFormat="1" ht="15" customHeight="1">
      <c r="A3" s="4"/>
      <c r="B3" s="4"/>
      <c r="C3" s="8"/>
      <c r="F3" s="8"/>
      <c r="J3" s="8"/>
    </row>
    <row r="4" spans="1:6" s="9" customFormat="1" ht="15" customHeight="1">
      <c r="A4" s="2" t="s">
        <v>140</v>
      </c>
      <c r="B4" s="2"/>
      <c r="C4" s="8"/>
      <c r="F4" s="8"/>
    </row>
    <row r="5" spans="1:10" s="9" customFormat="1" ht="15" customHeight="1">
      <c r="A5" s="52"/>
      <c r="B5" s="52"/>
      <c r="C5" s="8"/>
      <c r="F5" s="8"/>
      <c r="J5" s="37" t="s">
        <v>116</v>
      </c>
    </row>
    <row r="6" spans="1:10" s="207" customFormat="1" ht="15" customHeight="1">
      <c r="A6" s="132"/>
      <c r="B6" s="10"/>
      <c r="C6" s="568">
        <v>1998</v>
      </c>
      <c r="D6" s="568">
        <v>1999</v>
      </c>
      <c r="E6" s="570" t="s">
        <v>141</v>
      </c>
      <c r="F6" s="38">
        <v>2000</v>
      </c>
      <c r="G6" s="38">
        <v>2000</v>
      </c>
      <c r="H6" s="38" t="s">
        <v>142</v>
      </c>
      <c r="I6" s="38" t="s">
        <v>143</v>
      </c>
      <c r="J6" s="38">
        <v>2001</v>
      </c>
    </row>
    <row r="7" spans="1:10" s="9" customFormat="1" ht="15" customHeight="1">
      <c r="A7" s="143"/>
      <c r="B7" s="133"/>
      <c r="C7" s="573"/>
      <c r="D7" s="573"/>
      <c r="E7" s="583"/>
      <c r="F7" s="66" t="s">
        <v>301</v>
      </c>
      <c r="G7" s="66" t="s">
        <v>302</v>
      </c>
      <c r="H7" s="66" t="s">
        <v>303</v>
      </c>
      <c r="I7" s="66" t="s">
        <v>874</v>
      </c>
      <c r="J7" s="66" t="s">
        <v>301</v>
      </c>
    </row>
    <row r="8" spans="1:11" s="9" customFormat="1" ht="15" customHeight="1">
      <c r="A8" s="141"/>
      <c r="B8" s="15"/>
      <c r="C8" s="569"/>
      <c r="D8" s="569"/>
      <c r="E8" s="571"/>
      <c r="F8" s="494"/>
      <c r="G8" s="69"/>
      <c r="H8" s="69"/>
      <c r="I8" s="69"/>
      <c r="J8" s="69"/>
      <c r="K8" s="66"/>
    </row>
    <row r="9" spans="1:10" s="9" customFormat="1" ht="9.75" customHeight="1">
      <c r="A9" s="143"/>
      <c r="B9" s="10"/>
      <c r="C9" s="50"/>
      <c r="D9" s="50"/>
      <c r="E9" s="12"/>
      <c r="F9" s="144"/>
      <c r="G9" s="139"/>
      <c r="H9" s="139"/>
      <c r="I9" s="139"/>
      <c r="J9" s="139"/>
    </row>
    <row r="10" spans="1:17" s="9" customFormat="1" ht="15" customHeight="1">
      <c r="A10" s="209" t="s">
        <v>144</v>
      </c>
      <c r="B10" s="26" t="s">
        <v>458</v>
      </c>
      <c r="C10" s="156">
        <v>84589.3</v>
      </c>
      <c r="D10" s="157">
        <v>88595.6</v>
      </c>
      <c r="E10" s="157">
        <v>88202.8</v>
      </c>
      <c r="F10" s="157">
        <v>83762.7</v>
      </c>
      <c r="G10" s="157">
        <v>86381.5</v>
      </c>
      <c r="H10" s="157">
        <v>88202.8</v>
      </c>
      <c r="I10" s="157">
        <v>88996.2</v>
      </c>
      <c r="J10" s="157">
        <v>90667.9</v>
      </c>
      <c r="N10" s="9">
        <v>85455.6</v>
      </c>
      <c r="O10" s="9">
        <v>86427.3</v>
      </c>
      <c r="P10" s="9">
        <v>87064.5</v>
      </c>
      <c r="Q10" s="9">
        <v>88595.5</v>
      </c>
    </row>
    <row r="11" spans="1:10" s="9" customFormat="1" ht="15" customHeight="1">
      <c r="A11" s="209"/>
      <c r="B11" s="26" t="s">
        <v>695</v>
      </c>
      <c r="C11" s="156">
        <v>10.336843862747603</v>
      </c>
      <c r="D11" s="156">
        <v>4.736178216393805</v>
      </c>
      <c r="E11" s="157">
        <v>-0.44336287580873934</v>
      </c>
      <c r="F11" s="157">
        <v>-3.0830536184747293</v>
      </c>
      <c r="G11" s="157">
        <v>-0.7844758770796378</v>
      </c>
      <c r="H11" s="157">
        <v>-0.44336287580873934</v>
      </c>
      <c r="I11" s="157">
        <v>-0.2747603690663736</v>
      </c>
      <c r="J11" s="156">
        <v>8.243764826109956</v>
      </c>
    </row>
    <row r="12" spans="1:10" s="9" customFormat="1" ht="15" customHeight="1">
      <c r="A12" s="209"/>
      <c r="B12" s="26"/>
      <c r="C12" s="156"/>
      <c r="D12" s="157"/>
      <c r="E12" s="157"/>
      <c r="F12" s="157"/>
      <c r="G12" s="157"/>
      <c r="H12" s="157"/>
      <c r="I12" s="157"/>
      <c r="J12" s="156"/>
    </row>
    <row r="13" spans="1:17" s="9" customFormat="1" ht="15" customHeight="1">
      <c r="A13" s="52" t="s">
        <v>145</v>
      </c>
      <c r="B13" s="26" t="s">
        <v>458</v>
      </c>
      <c r="C13" s="156">
        <v>4033.654</v>
      </c>
      <c r="D13" s="157">
        <v>3609.3</v>
      </c>
      <c r="E13" s="157">
        <v>3306.6</v>
      </c>
      <c r="F13" s="157">
        <v>3308.1</v>
      </c>
      <c r="G13" s="157">
        <v>3121.1</v>
      </c>
      <c r="H13" s="157">
        <v>3306.6</v>
      </c>
      <c r="I13" s="157">
        <v>3354.7</v>
      </c>
      <c r="J13" s="157">
        <v>3443.2</v>
      </c>
      <c r="N13" s="9">
        <v>3502.2</v>
      </c>
      <c r="O13" s="9">
        <v>3246.2</v>
      </c>
      <c r="P13" s="9">
        <v>3220</v>
      </c>
      <c r="Q13" s="9">
        <v>3609.3</v>
      </c>
    </row>
    <row r="14" spans="1:10" s="9" customFormat="1" ht="15" customHeight="1">
      <c r="A14" s="52"/>
      <c r="B14" s="26" t="s">
        <v>695</v>
      </c>
      <c r="C14" s="156">
        <v>6.409380445902513</v>
      </c>
      <c r="D14" s="156">
        <v>-10.520337143443637</v>
      </c>
      <c r="E14" s="157">
        <v>-8.386667774914812</v>
      </c>
      <c r="F14" s="157">
        <v>1.9068449263754506</v>
      </c>
      <c r="G14" s="157">
        <v>-3.0714285714285694</v>
      </c>
      <c r="H14" s="157">
        <v>-8.386667774914812</v>
      </c>
      <c r="I14" s="157">
        <v>-2.29787977632806</v>
      </c>
      <c r="J14" s="156">
        <v>4.083915238354341</v>
      </c>
    </row>
    <row r="15" spans="1:10" s="9" customFormat="1" ht="15" customHeight="1">
      <c r="A15" s="52"/>
      <c r="B15" s="26"/>
      <c r="C15" s="156"/>
      <c r="D15" s="157"/>
      <c r="E15" s="157"/>
      <c r="F15" s="157"/>
      <c r="G15" s="157"/>
      <c r="H15" s="157"/>
      <c r="I15" s="157"/>
      <c r="J15" s="156"/>
    </row>
    <row r="16" spans="1:17" s="9" customFormat="1" ht="15" customHeight="1">
      <c r="A16" s="52" t="s">
        <v>146</v>
      </c>
      <c r="B16" s="26" t="s">
        <v>458</v>
      </c>
      <c r="C16" s="156">
        <v>1732.733</v>
      </c>
      <c r="D16" s="157">
        <v>1861.7</v>
      </c>
      <c r="E16" s="157">
        <v>1471.7</v>
      </c>
      <c r="F16" s="157">
        <v>1510.4</v>
      </c>
      <c r="G16" s="157">
        <v>1392.6</v>
      </c>
      <c r="H16" s="157">
        <v>1471.7</v>
      </c>
      <c r="I16" s="157">
        <v>1343.2</v>
      </c>
      <c r="J16" s="157">
        <v>1379.4</v>
      </c>
      <c r="N16" s="9">
        <v>1565.5</v>
      </c>
      <c r="O16" s="9">
        <v>1625.9</v>
      </c>
      <c r="P16" s="9">
        <v>1720.7</v>
      </c>
      <c r="Q16" s="9">
        <v>1861.7</v>
      </c>
    </row>
    <row r="17" spans="1:10" s="9" customFormat="1" ht="15" customHeight="1">
      <c r="A17" s="52"/>
      <c r="B17" s="26" t="s">
        <v>695</v>
      </c>
      <c r="C17" s="156">
        <v>2.0338665664818123</v>
      </c>
      <c r="D17" s="156">
        <v>7.4429816942368054</v>
      </c>
      <c r="E17" s="157">
        <v>-20.948595369823273</v>
      </c>
      <c r="F17" s="157">
        <v>-7.103757918691189</v>
      </c>
      <c r="G17" s="157">
        <v>-19.06782123554368</v>
      </c>
      <c r="H17" s="157">
        <v>-20.948595369823273</v>
      </c>
      <c r="I17" s="157">
        <v>-20.614657210401887</v>
      </c>
      <c r="J17" s="156">
        <v>-8.673199152542377</v>
      </c>
    </row>
    <row r="18" spans="1:10" s="9" customFormat="1" ht="15" customHeight="1">
      <c r="A18" s="52"/>
      <c r="B18" s="26"/>
      <c r="C18" s="156"/>
      <c r="D18" s="157"/>
      <c r="E18" s="157"/>
      <c r="F18" s="157"/>
      <c r="G18" s="157"/>
      <c r="H18" s="157"/>
      <c r="I18" s="157"/>
      <c r="J18" s="156"/>
    </row>
    <row r="19" spans="1:17" s="9" customFormat="1" ht="15" customHeight="1">
      <c r="A19" s="52" t="s">
        <v>147</v>
      </c>
      <c r="B19" s="26" t="s">
        <v>458</v>
      </c>
      <c r="C19" s="156">
        <v>2240.4</v>
      </c>
      <c r="D19" s="157">
        <v>1707.4</v>
      </c>
      <c r="E19" s="157">
        <v>1766.6</v>
      </c>
      <c r="F19" s="157">
        <v>1757.2</v>
      </c>
      <c r="G19" s="157">
        <v>1671.6</v>
      </c>
      <c r="H19" s="157">
        <v>1766.6</v>
      </c>
      <c r="I19" s="157">
        <v>1955.2</v>
      </c>
      <c r="J19" s="157">
        <v>1958.7</v>
      </c>
      <c r="N19" s="9">
        <v>1877.5</v>
      </c>
      <c r="O19" s="9">
        <v>1577.3</v>
      </c>
      <c r="P19" s="9">
        <v>1466.7</v>
      </c>
      <c r="Q19" s="9">
        <v>1707.4</v>
      </c>
    </row>
    <row r="20" spans="1:10" s="9" customFormat="1" ht="15" customHeight="1">
      <c r="A20" s="52"/>
      <c r="B20" s="26" t="s">
        <v>695</v>
      </c>
      <c r="C20" s="156">
        <v>9.952130285716532</v>
      </c>
      <c r="D20" s="156">
        <v>-23.790394572397787</v>
      </c>
      <c r="E20" s="157">
        <v>3.467260161649288</v>
      </c>
      <c r="F20" s="157">
        <v>11.405566474354911</v>
      </c>
      <c r="G20" s="157">
        <v>13.970137042339935</v>
      </c>
      <c r="H20" s="157">
        <v>3.467260161649288</v>
      </c>
      <c r="I20" s="157">
        <v>14.372623574144484</v>
      </c>
      <c r="J20" s="156">
        <v>11.467106760755751</v>
      </c>
    </row>
    <row r="21" spans="1:10" s="9" customFormat="1" ht="15" customHeight="1">
      <c r="A21" s="52"/>
      <c r="B21" s="26"/>
      <c r="C21" s="156"/>
      <c r="D21" s="156"/>
      <c r="E21" s="157"/>
      <c r="F21" s="157"/>
      <c r="G21" s="157"/>
      <c r="H21" s="157"/>
      <c r="I21" s="157"/>
      <c r="J21" s="156"/>
    </row>
    <row r="22" spans="1:17" s="9" customFormat="1" ht="15" customHeight="1">
      <c r="A22" s="52" t="s">
        <v>148</v>
      </c>
      <c r="B22" s="26" t="s">
        <v>458</v>
      </c>
      <c r="C22" s="156">
        <v>60.521</v>
      </c>
      <c r="D22" s="157">
        <v>40.3</v>
      </c>
      <c r="E22" s="157">
        <v>68.4</v>
      </c>
      <c r="F22" s="157">
        <v>40.6</v>
      </c>
      <c r="G22" s="157">
        <v>56.9</v>
      </c>
      <c r="H22" s="157">
        <v>68.4</v>
      </c>
      <c r="I22" s="157">
        <v>56.3</v>
      </c>
      <c r="J22" s="156">
        <v>105.1</v>
      </c>
      <c r="N22" s="9">
        <v>59.2</v>
      </c>
      <c r="O22" s="9">
        <v>43</v>
      </c>
      <c r="P22" s="9">
        <v>32.6</v>
      </c>
      <c r="Q22" s="9">
        <v>40.3</v>
      </c>
    </row>
    <row r="23" spans="1:10" s="9" customFormat="1" ht="15" customHeight="1">
      <c r="A23" s="52"/>
      <c r="B23" s="26" t="s">
        <v>695</v>
      </c>
      <c r="C23" s="156">
        <v>10.266734686440993</v>
      </c>
      <c r="D23" s="156">
        <v>-33.411543100741895</v>
      </c>
      <c r="E23" s="157">
        <v>69.72704714640201</v>
      </c>
      <c r="F23" s="157">
        <v>-5.581395348837203</v>
      </c>
      <c r="G23" s="157">
        <v>74.53987730061348</v>
      </c>
      <c r="H23" s="157">
        <v>69.72704714640201</v>
      </c>
      <c r="I23" s="157">
        <v>74.8447204968944</v>
      </c>
      <c r="J23" s="156">
        <v>158.8669950738916</v>
      </c>
    </row>
    <row r="24" spans="1:10" s="9" customFormat="1" ht="15" customHeight="1">
      <c r="A24" s="52"/>
      <c r="B24" s="26"/>
      <c r="C24" s="156"/>
      <c r="D24" s="157"/>
      <c r="E24" s="157"/>
      <c r="F24" s="157"/>
      <c r="G24" s="157"/>
      <c r="H24" s="157"/>
      <c r="I24" s="157"/>
      <c r="J24" s="156"/>
    </row>
    <row r="25" spans="1:17" s="9" customFormat="1" ht="15" customHeight="1">
      <c r="A25" s="52" t="s">
        <v>149</v>
      </c>
      <c r="B25" s="26" t="s">
        <v>458</v>
      </c>
      <c r="C25" s="156">
        <v>14510.2</v>
      </c>
      <c r="D25" s="157">
        <v>15892.1</v>
      </c>
      <c r="E25" s="157">
        <v>16612</v>
      </c>
      <c r="F25" s="157">
        <v>15626.2</v>
      </c>
      <c r="G25" s="157">
        <v>15534</v>
      </c>
      <c r="H25" s="157">
        <v>16612</v>
      </c>
      <c r="I25" s="157">
        <v>16516</v>
      </c>
      <c r="J25" s="157">
        <v>18098.7</v>
      </c>
      <c r="N25" s="9">
        <v>14511.7</v>
      </c>
      <c r="O25" s="9">
        <v>15455.7</v>
      </c>
      <c r="P25" s="9">
        <v>14689.3</v>
      </c>
      <c r="Q25" s="9">
        <v>15892.1</v>
      </c>
    </row>
    <row r="26" spans="1:10" s="9" customFormat="1" ht="15" customHeight="1">
      <c r="A26" s="52"/>
      <c r="B26" s="26" t="s">
        <v>695</v>
      </c>
      <c r="C26" s="156">
        <v>7.727048515555102</v>
      </c>
      <c r="D26" s="156">
        <v>9.523645435624584</v>
      </c>
      <c r="E26" s="157">
        <v>4.529923672768232</v>
      </c>
      <c r="F26" s="157">
        <v>1.103152882108227</v>
      </c>
      <c r="G26" s="157">
        <v>5.750444200880911</v>
      </c>
      <c r="H26" s="157">
        <v>4.529923672768232</v>
      </c>
      <c r="I26" s="157">
        <v>6.804969056564714</v>
      </c>
      <c r="J26" s="156">
        <v>15.822784810126578</v>
      </c>
    </row>
    <row r="27" spans="1:10" s="9" customFormat="1" ht="15" customHeight="1">
      <c r="A27" s="52"/>
      <c r="B27" s="26"/>
      <c r="C27" s="156"/>
      <c r="D27" s="156"/>
      <c r="E27" s="157"/>
      <c r="F27" s="157"/>
      <c r="G27" s="156"/>
      <c r="H27" s="156"/>
      <c r="I27" s="156"/>
      <c r="J27" s="156"/>
    </row>
    <row r="28" spans="1:17" s="9" customFormat="1" ht="15" customHeight="1">
      <c r="A28" s="52" t="s">
        <v>146</v>
      </c>
      <c r="B28" s="26" t="s">
        <v>458</v>
      </c>
      <c r="C28" s="156">
        <v>5010.815</v>
      </c>
      <c r="D28" s="157">
        <v>5620.4</v>
      </c>
      <c r="E28" s="157">
        <v>5871.8</v>
      </c>
      <c r="F28" s="157">
        <v>5614.3</v>
      </c>
      <c r="G28" s="157">
        <v>5456.7</v>
      </c>
      <c r="H28" s="157">
        <v>5871.8</v>
      </c>
      <c r="I28" s="157">
        <v>5831.3</v>
      </c>
      <c r="J28" s="157">
        <v>6351</v>
      </c>
      <c r="N28" s="9">
        <v>5066.1</v>
      </c>
      <c r="O28" s="9">
        <v>5379.1</v>
      </c>
      <c r="P28" s="9">
        <v>5311</v>
      </c>
      <c r="Q28" s="9">
        <v>5620.4</v>
      </c>
    </row>
    <row r="29" spans="1:10" s="9" customFormat="1" ht="15" customHeight="1">
      <c r="A29" s="52"/>
      <c r="B29" s="26" t="s">
        <v>695</v>
      </c>
      <c r="C29" s="156">
        <v>6.526458696778903</v>
      </c>
      <c r="D29" s="156">
        <v>12.165386269499079</v>
      </c>
      <c r="E29" s="157">
        <v>4.472991246174662</v>
      </c>
      <c r="F29" s="157">
        <v>4.372478667435065</v>
      </c>
      <c r="G29" s="157">
        <v>2.743362831858409</v>
      </c>
      <c r="H29" s="157">
        <v>4.472991246174662</v>
      </c>
      <c r="I29" s="157">
        <v>9.02886844663826</v>
      </c>
      <c r="J29" s="156">
        <v>13.121849562723753</v>
      </c>
    </row>
    <row r="30" spans="1:10" s="9" customFormat="1" ht="15" customHeight="1">
      <c r="A30" s="52"/>
      <c r="B30" s="26"/>
      <c r="C30" s="156"/>
      <c r="D30" s="156"/>
      <c r="E30" s="157"/>
      <c r="F30" s="157"/>
      <c r="G30" s="156"/>
      <c r="H30" s="156"/>
      <c r="I30" s="156"/>
      <c r="J30" s="156"/>
    </row>
    <row r="31" spans="1:17" s="9" customFormat="1" ht="15" customHeight="1">
      <c r="A31" s="52" t="s">
        <v>147</v>
      </c>
      <c r="B31" s="26" t="s">
        <v>458</v>
      </c>
      <c r="C31" s="156">
        <v>7557.715</v>
      </c>
      <c r="D31" s="157">
        <v>8088.8</v>
      </c>
      <c r="E31" s="157">
        <v>8550.2</v>
      </c>
      <c r="F31" s="157">
        <v>7948.9</v>
      </c>
      <c r="G31" s="157">
        <v>7958</v>
      </c>
      <c r="H31" s="157">
        <v>8550.2</v>
      </c>
      <c r="I31" s="157">
        <v>8542.4</v>
      </c>
      <c r="J31" s="157">
        <v>9422.2</v>
      </c>
      <c r="N31" s="9">
        <v>7575</v>
      </c>
      <c r="O31" s="9">
        <v>8008</v>
      </c>
      <c r="P31" s="9">
        <v>7450.4</v>
      </c>
      <c r="Q31" s="9">
        <v>8088.8</v>
      </c>
    </row>
    <row r="32" spans="1:10" s="9" customFormat="1" ht="15" customHeight="1">
      <c r="A32" s="52"/>
      <c r="B32" s="26" t="s">
        <v>695</v>
      </c>
      <c r="C32" s="156">
        <v>12.442287095116988</v>
      </c>
      <c r="D32" s="156">
        <v>7.027057781353219</v>
      </c>
      <c r="E32" s="157">
        <v>5.704183562456744</v>
      </c>
      <c r="F32" s="157">
        <v>-0.7380119880119884</v>
      </c>
      <c r="G32" s="157">
        <v>6.81305701707291</v>
      </c>
      <c r="H32" s="157">
        <v>5.704183562456744</v>
      </c>
      <c r="I32" s="157">
        <v>8.931395052282575</v>
      </c>
      <c r="J32" s="156">
        <v>18.534640013083582</v>
      </c>
    </row>
    <row r="33" spans="1:10" s="9" customFormat="1" ht="15" customHeight="1">
      <c r="A33" s="52"/>
      <c r="B33" s="26"/>
      <c r="C33" s="156"/>
      <c r="D33" s="157"/>
      <c r="E33" s="157"/>
      <c r="F33" s="157"/>
      <c r="G33" s="157"/>
      <c r="H33" s="157"/>
      <c r="I33" s="157"/>
      <c r="J33" s="156"/>
    </row>
    <row r="34" spans="1:17" s="9" customFormat="1" ht="15" customHeight="1">
      <c r="A34" s="52" t="s">
        <v>148</v>
      </c>
      <c r="B34" s="26" t="s">
        <v>458</v>
      </c>
      <c r="C34" s="156">
        <v>1941.67</v>
      </c>
      <c r="D34" s="157">
        <v>2182.9</v>
      </c>
      <c r="E34" s="157">
        <v>2190.1</v>
      </c>
      <c r="F34" s="157">
        <v>2063</v>
      </c>
      <c r="G34" s="157">
        <v>2119.3</v>
      </c>
      <c r="H34" s="157">
        <v>2190.1</v>
      </c>
      <c r="I34" s="157">
        <v>2142.4</v>
      </c>
      <c r="J34" s="157">
        <v>2325.5</v>
      </c>
      <c r="N34" s="9">
        <v>1870.6</v>
      </c>
      <c r="O34" s="9">
        <v>2068.6</v>
      </c>
      <c r="P34" s="9">
        <v>1928</v>
      </c>
      <c r="Q34" s="9">
        <v>2182.9</v>
      </c>
    </row>
    <row r="35" spans="1:10" s="9" customFormat="1" ht="15" customHeight="1">
      <c r="A35" s="52"/>
      <c r="B35" s="26" t="s">
        <v>695</v>
      </c>
      <c r="C35" s="156">
        <v>-5.014399466189989</v>
      </c>
      <c r="D35" s="156">
        <v>12.423841332461238</v>
      </c>
      <c r="E35" s="157">
        <v>0.32983645609050427</v>
      </c>
      <c r="F35" s="157">
        <v>-0.27071449289374216</v>
      </c>
      <c r="G35" s="157">
        <v>9.92219917012449</v>
      </c>
      <c r="H35" s="157">
        <v>0.32983645609050427</v>
      </c>
      <c r="I35" s="157">
        <v>-5.754003167341182</v>
      </c>
      <c r="J35" s="156">
        <v>12.724188075618038</v>
      </c>
    </row>
    <row r="36" spans="1:10" s="9" customFormat="1" ht="15" customHeight="1">
      <c r="A36" s="52"/>
      <c r="B36" s="26"/>
      <c r="C36" s="156"/>
      <c r="D36" s="157"/>
      <c r="E36" s="157"/>
      <c r="F36" s="157"/>
      <c r="G36" s="157"/>
      <c r="H36" s="157"/>
      <c r="I36" s="157"/>
      <c r="J36" s="156"/>
    </row>
    <row r="37" spans="1:17" s="9" customFormat="1" ht="15" customHeight="1">
      <c r="A37" s="52" t="s">
        <v>150</v>
      </c>
      <c r="B37" s="26" t="s">
        <v>458</v>
      </c>
      <c r="C37" s="156">
        <v>880.886</v>
      </c>
      <c r="D37" s="157">
        <v>887.9</v>
      </c>
      <c r="E37" s="157">
        <v>772.5</v>
      </c>
      <c r="F37" s="157">
        <v>854.4</v>
      </c>
      <c r="G37" s="157">
        <v>887.9</v>
      </c>
      <c r="H37" s="157">
        <v>772.5</v>
      </c>
      <c r="I37" s="157">
        <v>698.9</v>
      </c>
      <c r="J37" s="156">
        <v>849.1</v>
      </c>
      <c r="N37" s="9">
        <v>651.5</v>
      </c>
      <c r="O37" s="9">
        <v>720.6</v>
      </c>
      <c r="P37" s="9">
        <v>830.7</v>
      </c>
      <c r="Q37" s="9">
        <v>887.9</v>
      </c>
    </row>
    <row r="38" spans="1:10" s="9" customFormat="1" ht="15" customHeight="1">
      <c r="A38" s="52"/>
      <c r="B38" s="26" t="s">
        <v>695</v>
      </c>
      <c r="C38" s="156">
        <v>31.411189745915436</v>
      </c>
      <c r="D38" s="156">
        <v>0.7962437818287427</v>
      </c>
      <c r="E38" s="157">
        <v>-12.996959117017681</v>
      </c>
      <c r="F38" s="157">
        <v>18.567860116569523</v>
      </c>
      <c r="G38" s="157">
        <v>6.885758998435043</v>
      </c>
      <c r="H38" s="157">
        <v>-12.996959117017681</v>
      </c>
      <c r="I38" s="157">
        <v>-25.307256599337403</v>
      </c>
      <c r="J38" s="156">
        <v>-0.6203183520599231</v>
      </c>
    </row>
    <row r="39" spans="1:10" s="9" customFormat="1" ht="15" customHeight="1">
      <c r="A39" s="52"/>
      <c r="B39" s="26"/>
      <c r="C39" s="156"/>
      <c r="D39" s="156"/>
      <c r="E39" s="157"/>
      <c r="F39" s="157"/>
      <c r="G39" s="156"/>
      <c r="H39" s="156"/>
      <c r="I39" s="156"/>
      <c r="J39" s="156"/>
    </row>
    <row r="40" spans="1:17" s="9" customFormat="1" ht="15" customHeight="1">
      <c r="A40" s="52" t="s">
        <v>146</v>
      </c>
      <c r="B40" s="26" t="s">
        <v>458</v>
      </c>
      <c r="C40" s="156">
        <v>42.211</v>
      </c>
      <c r="D40" s="157">
        <v>74.1</v>
      </c>
      <c r="E40" s="157">
        <v>31.9</v>
      </c>
      <c r="F40" s="157">
        <v>29.6</v>
      </c>
      <c r="G40" s="157">
        <v>18.8</v>
      </c>
      <c r="H40" s="157">
        <v>31.9</v>
      </c>
      <c r="I40" s="157">
        <v>21.7</v>
      </c>
      <c r="J40" s="156">
        <v>48.1</v>
      </c>
      <c r="N40" s="9">
        <v>41.1</v>
      </c>
      <c r="O40" s="9">
        <v>37</v>
      </c>
      <c r="P40" s="9">
        <v>44.1</v>
      </c>
      <c r="Q40" s="9">
        <v>74.1</v>
      </c>
    </row>
    <row r="41" spans="1:10" s="9" customFormat="1" ht="15" customHeight="1">
      <c r="A41" s="52"/>
      <c r="B41" s="26" t="s">
        <v>695</v>
      </c>
      <c r="C41" s="156">
        <v>215.9033078880407</v>
      </c>
      <c r="D41" s="156">
        <v>75.54665845395749</v>
      </c>
      <c r="E41" s="157">
        <v>-56.95006747638327</v>
      </c>
      <c r="F41" s="157">
        <v>-20</v>
      </c>
      <c r="G41" s="157">
        <v>-57.36961451247166</v>
      </c>
      <c r="H41" s="157">
        <v>-56.95006747638327</v>
      </c>
      <c r="I41" s="157">
        <v>-50.114942528735625</v>
      </c>
      <c r="J41" s="156">
        <v>62.5</v>
      </c>
    </row>
    <row r="42" spans="1:10" s="9" customFormat="1" ht="15" customHeight="1">
      <c r="A42" s="52"/>
      <c r="B42" s="26"/>
      <c r="C42" s="156"/>
      <c r="D42" s="156"/>
      <c r="E42" s="157"/>
      <c r="F42" s="157"/>
      <c r="G42" s="156"/>
      <c r="H42" s="156"/>
      <c r="I42" s="156"/>
      <c r="J42" s="156"/>
    </row>
    <row r="43" spans="1:17" s="9" customFormat="1" ht="15" customHeight="1">
      <c r="A43" s="52" t="s">
        <v>147</v>
      </c>
      <c r="B43" s="26" t="s">
        <v>458</v>
      </c>
      <c r="C43" s="156">
        <v>557.521</v>
      </c>
      <c r="D43" s="157">
        <v>756</v>
      </c>
      <c r="E43" s="157">
        <v>668.2</v>
      </c>
      <c r="F43" s="157">
        <v>768.9</v>
      </c>
      <c r="G43" s="157">
        <v>779.8</v>
      </c>
      <c r="H43" s="157">
        <v>668.2</v>
      </c>
      <c r="I43" s="157">
        <v>616.6</v>
      </c>
      <c r="J43" s="156">
        <v>674.4</v>
      </c>
      <c r="N43" s="9">
        <v>553.6</v>
      </c>
      <c r="O43" s="9">
        <v>603.5</v>
      </c>
      <c r="P43" s="9">
        <v>735.6</v>
      </c>
      <c r="Q43" s="9">
        <v>756</v>
      </c>
    </row>
    <row r="44" spans="1:10" s="9" customFormat="1" ht="15" customHeight="1">
      <c r="A44" s="52"/>
      <c r="B44" s="26" t="s">
        <v>695</v>
      </c>
      <c r="C44" s="156">
        <v>31.986685826702676</v>
      </c>
      <c r="D44" s="156">
        <v>35.60027335293201</v>
      </c>
      <c r="E44" s="157">
        <v>-11.61375661375661</v>
      </c>
      <c r="F44" s="157">
        <v>27.406793703396847</v>
      </c>
      <c r="G44" s="157">
        <v>6.008700380641652</v>
      </c>
      <c r="H44" s="157">
        <v>-11.61375661375661</v>
      </c>
      <c r="I44" s="157">
        <v>-23.942272110521767</v>
      </c>
      <c r="J44" s="156">
        <v>-12.290284822473662</v>
      </c>
    </row>
    <row r="45" spans="1:10" s="9" customFormat="1" ht="15" customHeight="1">
      <c r="A45" s="52"/>
      <c r="B45" s="26"/>
      <c r="C45" s="156"/>
      <c r="D45" s="157"/>
      <c r="E45" s="157"/>
      <c r="F45" s="157"/>
      <c r="G45" s="157"/>
      <c r="H45" s="157"/>
      <c r="I45" s="157"/>
      <c r="J45" s="156"/>
    </row>
    <row r="46" spans="1:17" s="9" customFormat="1" ht="15" customHeight="1">
      <c r="A46" s="52" t="s">
        <v>148</v>
      </c>
      <c r="B46" s="26" t="s">
        <v>458</v>
      </c>
      <c r="C46" s="156">
        <v>281.154</v>
      </c>
      <c r="D46" s="157">
        <v>57.8</v>
      </c>
      <c r="E46" s="157">
        <v>72.4</v>
      </c>
      <c r="F46" s="157">
        <v>55.9</v>
      </c>
      <c r="G46" s="157">
        <v>89.2</v>
      </c>
      <c r="H46" s="157">
        <v>72.4</v>
      </c>
      <c r="I46" s="157">
        <v>60.6</v>
      </c>
      <c r="J46" s="156">
        <v>126.5</v>
      </c>
      <c r="N46" s="9">
        <v>56.8</v>
      </c>
      <c r="O46" s="9">
        <v>80.2</v>
      </c>
      <c r="P46" s="9">
        <v>51</v>
      </c>
      <c r="Q46" s="9">
        <v>57.8</v>
      </c>
    </row>
    <row r="47" spans="1:10" s="9" customFormat="1" ht="15" customHeight="1">
      <c r="A47" s="52"/>
      <c r="B47" s="26" t="s">
        <v>695</v>
      </c>
      <c r="C47" s="156">
        <v>19.864938032648503</v>
      </c>
      <c r="D47" s="156">
        <v>-79.44187171443409</v>
      </c>
      <c r="E47" s="157">
        <v>25.259515570934266</v>
      </c>
      <c r="F47" s="157">
        <v>-30.299251870324195</v>
      </c>
      <c r="G47" s="157">
        <v>74.90196078431373</v>
      </c>
      <c r="H47" s="157">
        <v>25.259515570934266</v>
      </c>
      <c r="I47" s="157">
        <v>-25.552825552825553</v>
      </c>
      <c r="J47" s="156">
        <v>126.2969588550984</v>
      </c>
    </row>
    <row r="48" spans="1:10" s="9" customFormat="1" ht="15" customHeight="1">
      <c r="A48" s="52"/>
      <c r="B48" s="26"/>
      <c r="C48" s="156"/>
      <c r="D48" s="157"/>
      <c r="E48" s="157"/>
      <c r="F48" s="157"/>
      <c r="G48" s="157"/>
      <c r="H48" s="157"/>
      <c r="I48" s="157"/>
      <c r="J48" s="156"/>
    </row>
    <row r="49" spans="1:17" s="9" customFormat="1" ht="15" customHeight="1">
      <c r="A49" s="52" t="s">
        <v>151</v>
      </c>
      <c r="B49" s="26" t="s">
        <v>458</v>
      </c>
      <c r="C49" s="156">
        <v>65164.516</v>
      </c>
      <c r="D49" s="157">
        <v>68206.3</v>
      </c>
      <c r="E49" s="157">
        <v>67511.7</v>
      </c>
      <c r="F49" s="157">
        <v>63974</v>
      </c>
      <c r="G49" s="157">
        <v>66838.5</v>
      </c>
      <c r="H49" s="157">
        <v>67511.7</v>
      </c>
      <c r="I49" s="157">
        <v>68426.6</v>
      </c>
      <c r="J49" s="157">
        <v>68277</v>
      </c>
      <c r="N49" s="9">
        <v>66790.3</v>
      </c>
      <c r="O49" s="9">
        <v>67004.7</v>
      </c>
      <c r="P49" s="9">
        <v>68324.5</v>
      </c>
      <c r="Q49" s="9">
        <v>68206.3</v>
      </c>
    </row>
    <row r="50" spans="1:10" s="9" customFormat="1" ht="15" customHeight="1">
      <c r="A50" s="52"/>
      <c r="B50" s="26" t="s">
        <v>695</v>
      </c>
      <c r="C50" s="156">
        <v>10.948242417981024</v>
      </c>
      <c r="D50" s="156">
        <v>4.66785328383319</v>
      </c>
      <c r="E50" s="157">
        <v>-1.018380999995605</v>
      </c>
      <c r="F50" s="157">
        <v>-4.523115542641031</v>
      </c>
      <c r="G50" s="157">
        <v>-2.174915293928237</v>
      </c>
      <c r="H50" s="157">
        <v>-1.018380999995605</v>
      </c>
      <c r="I50" s="157">
        <v>-1.4145261956765909</v>
      </c>
      <c r="J50" s="156">
        <v>6.726170006565169</v>
      </c>
    </row>
    <row r="51" spans="1:10" s="9" customFormat="1" ht="15" customHeight="1">
      <c r="A51" s="52"/>
      <c r="B51" s="26"/>
      <c r="C51" s="156"/>
      <c r="D51" s="156"/>
      <c r="E51" s="157"/>
      <c r="F51" s="157"/>
      <c r="G51" s="156"/>
      <c r="H51" s="156"/>
      <c r="I51" s="156"/>
      <c r="J51" s="156"/>
    </row>
    <row r="52" spans="1:17" s="9" customFormat="1" ht="15" customHeight="1">
      <c r="A52" s="52" t="s">
        <v>146</v>
      </c>
      <c r="B52" s="26" t="s">
        <v>458</v>
      </c>
      <c r="C52" s="156">
        <v>17276.88</v>
      </c>
      <c r="D52" s="157">
        <v>18871.4</v>
      </c>
      <c r="E52" s="157">
        <v>14427</v>
      </c>
      <c r="F52" s="157">
        <v>14298.5</v>
      </c>
      <c r="G52" s="157">
        <v>15069.1</v>
      </c>
      <c r="H52" s="157">
        <v>14427</v>
      </c>
      <c r="I52" s="157">
        <v>15083.8</v>
      </c>
      <c r="J52" s="157">
        <v>15567.4</v>
      </c>
      <c r="N52" s="9">
        <v>17772.1</v>
      </c>
      <c r="O52" s="9">
        <v>18047.1</v>
      </c>
      <c r="P52" s="9">
        <v>18660.2</v>
      </c>
      <c r="Q52" s="9">
        <v>18871.4</v>
      </c>
    </row>
    <row r="53" spans="1:10" s="9" customFormat="1" ht="15" customHeight="1">
      <c r="A53" s="52"/>
      <c r="B53" s="26" t="s">
        <v>695</v>
      </c>
      <c r="C53" s="156">
        <v>8.74256107157958</v>
      </c>
      <c r="D53" s="156">
        <v>9.22921268191943</v>
      </c>
      <c r="E53" s="157">
        <v>-23.55098190913234</v>
      </c>
      <c r="F53" s="157">
        <v>-20.771204237799967</v>
      </c>
      <c r="G53" s="157">
        <v>-19.244702629125086</v>
      </c>
      <c r="H53" s="157">
        <v>-23.55098190913234</v>
      </c>
      <c r="I53" s="157">
        <v>-23.810341605338003</v>
      </c>
      <c r="J53" s="156">
        <v>8.874357450082183</v>
      </c>
    </row>
    <row r="54" spans="1:10" s="9" customFormat="1" ht="15" customHeight="1">
      <c r="A54" s="52"/>
      <c r="B54" s="26"/>
      <c r="C54" s="156"/>
      <c r="D54" s="156"/>
      <c r="E54" s="157"/>
      <c r="F54" s="157"/>
      <c r="G54" s="156"/>
      <c r="H54" s="156"/>
      <c r="I54" s="156"/>
      <c r="J54" s="156"/>
    </row>
    <row r="55" spans="1:17" s="9" customFormat="1" ht="15" customHeight="1">
      <c r="A55" s="52" t="s">
        <v>147</v>
      </c>
      <c r="B55" s="26" t="s">
        <v>458</v>
      </c>
      <c r="C55" s="156">
        <v>35279.674</v>
      </c>
      <c r="D55" s="157">
        <v>36346</v>
      </c>
      <c r="E55" s="157">
        <v>36633.7</v>
      </c>
      <c r="F55" s="157">
        <v>35641.4</v>
      </c>
      <c r="G55" s="157">
        <v>36462.7</v>
      </c>
      <c r="H55" s="157">
        <v>36633.7</v>
      </c>
      <c r="I55" s="157">
        <v>36980.9</v>
      </c>
      <c r="J55" s="157">
        <v>36388.3</v>
      </c>
      <c r="N55" s="9">
        <v>35717.3</v>
      </c>
      <c r="O55" s="9">
        <v>36054.6</v>
      </c>
      <c r="P55" s="9">
        <v>36459.9</v>
      </c>
      <c r="Q55" s="9">
        <v>36346</v>
      </c>
    </row>
    <row r="56" spans="1:10" s="9" customFormat="1" ht="15" customHeight="1">
      <c r="A56" s="52"/>
      <c r="B56" s="26" t="s">
        <v>695</v>
      </c>
      <c r="C56" s="156">
        <v>8.220124466563107</v>
      </c>
      <c r="D56" s="156">
        <v>3.022493915334934</v>
      </c>
      <c r="E56" s="157">
        <v>0.7915589060694339</v>
      </c>
      <c r="F56" s="157">
        <v>-1.1460396176909415</v>
      </c>
      <c r="G56" s="157">
        <v>0.007679669993598814</v>
      </c>
      <c r="H56" s="157">
        <v>0.7915589060694339</v>
      </c>
      <c r="I56" s="157">
        <v>1.976048069313352</v>
      </c>
      <c r="J56" s="156">
        <v>2.095596693732582</v>
      </c>
    </row>
    <row r="57" spans="1:10" s="9" customFormat="1" ht="15" customHeight="1">
      <c r="A57" s="52"/>
      <c r="B57" s="26"/>
      <c r="C57" s="156"/>
      <c r="D57" s="157"/>
      <c r="E57" s="157"/>
      <c r="F57" s="157"/>
      <c r="G57" s="157"/>
      <c r="H57" s="157"/>
      <c r="I57" s="157"/>
      <c r="J57" s="156"/>
    </row>
    <row r="58" spans="1:17" s="9" customFormat="1" ht="15" customHeight="1">
      <c r="A58" s="52" t="s">
        <v>148</v>
      </c>
      <c r="B58" s="26" t="s">
        <v>458</v>
      </c>
      <c r="C58" s="156">
        <v>12607.962</v>
      </c>
      <c r="D58" s="157">
        <v>12988.9</v>
      </c>
      <c r="E58" s="157">
        <v>16451.1</v>
      </c>
      <c r="F58" s="157">
        <v>14034.1</v>
      </c>
      <c r="G58" s="157">
        <v>15306.8</v>
      </c>
      <c r="H58" s="157">
        <v>16451.1</v>
      </c>
      <c r="I58" s="157">
        <v>16362</v>
      </c>
      <c r="J58" s="157">
        <v>16321.3</v>
      </c>
      <c r="N58" s="9">
        <v>13300.9</v>
      </c>
      <c r="O58" s="9">
        <v>12903</v>
      </c>
      <c r="P58" s="9">
        <v>13204.5</v>
      </c>
      <c r="Q58" s="9">
        <v>12988.9</v>
      </c>
    </row>
    <row r="59" spans="1:10" s="9" customFormat="1" ht="15" customHeight="1">
      <c r="A59" s="52"/>
      <c r="B59" s="26" t="s">
        <v>695</v>
      </c>
      <c r="C59" s="156">
        <v>23.048144390718072</v>
      </c>
      <c r="D59" s="156">
        <v>3.021408218076793</v>
      </c>
      <c r="E59" s="157">
        <v>0.7915589060694339</v>
      </c>
      <c r="F59" s="157">
        <v>8.76617840812215</v>
      </c>
      <c r="G59" s="157">
        <v>15.921087508046483</v>
      </c>
      <c r="H59" s="157">
        <v>0.7915589060694339</v>
      </c>
      <c r="I59" s="157">
        <v>22.594857040100713</v>
      </c>
      <c r="J59" s="156">
        <v>16.297446932827885</v>
      </c>
    </row>
    <row r="60" spans="1:10" s="9" customFormat="1" ht="9.75" customHeight="1">
      <c r="A60" s="177"/>
      <c r="B60" s="178"/>
      <c r="C60" s="495"/>
      <c r="D60" s="495"/>
      <c r="E60" s="495"/>
      <c r="F60" s="495"/>
      <c r="G60" s="495"/>
      <c r="H60" s="495"/>
      <c r="I60" s="495"/>
      <c r="J60" s="366"/>
    </row>
    <row r="61" ht="16.5">
      <c r="A61" s="493" t="s">
        <v>152</v>
      </c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K6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7.875" style="24" customWidth="1"/>
    <col min="2" max="2" width="7.75390625" style="24" customWidth="1"/>
    <col min="3" max="9" width="7.625" style="24" customWidth="1"/>
    <col min="10" max="10" width="9.625" style="24" customWidth="1"/>
    <col min="11" max="11" width="7.625" style="24" customWidth="1"/>
    <col min="12" max="16384" width="9.00390625" style="24" customWidth="1"/>
  </cols>
  <sheetData>
    <row r="1" spans="1:9" s="9" customFormat="1" ht="15" customHeight="1">
      <c r="A1" s="1" t="s">
        <v>114</v>
      </c>
      <c r="B1" s="8"/>
      <c r="E1" s="8"/>
      <c r="I1" s="8"/>
    </row>
    <row r="2" spans="1:9" s="9" customFormat="1" ht="15" customHeight="1">
      <c r="A2" s="4"/>
      <c r="B2" s="8"/>
      <c r="E2" s="8"/>
      <c r="I2" s="8"/>
    </row>
    <row r="3" spans="1:9" s="9" customFormat="1" ht="15" customHeight="1">
      <c r="A3" s="4"/>
      <c r="B3" s="8"/>
      <c r="E3" s="8"/>
      <c r="I3" s="8"/>
    </row>
    <row r="4" spans="1:5" s="9" customFormat="1" ht="18.75" customHeight="1">
      <c r="A4" s="5" t="s">
        <v>153</v>
      </c>
      <c r="B4" s="8"/>
      <c r="E4" s="8"/>
    </row>
    <row r="5" spans="1:11" s="9" customFormat="1" ht="15" customHeight="1">
      <c r="A5" s="52"/>
      <c r="B5" s="8"/>
      <c r="E5" s="8"/>
      <c r="I5" s="8"/>
      <c r="J5" s="187"/>
      <c r="K5" s="496" t="s">
        <v>154</v>
      </c>
    </row>
    <row r="6" spans="1:11" s="207" customFormat="1" ht="15" customHeight="1">
      <c r="A6" s="132"/>
      <c r="B6" s="566">
        <v>1998</v>
      </c>
      <c r="C6" s="568">
        <v>1999</v>
      </c>
      <c r="D6" s="570">
        <v>2000</v>
      </c>
      <c r="E6" s="208"/>
      <c r="F6" s="191"/>
      <c r="G6" s="191"/>
      <c r="H6" s="191"/>
      <c r="I6" s="497"/>
      <c r="J6" s="498" t="s">
        <v>155</v>
      </c>
      <c r="K6" s="499" t="s">
        <v>156</v>
      </c>
    </row>
    <row r="7" spans="1:11" s="9" customFormat="1" ht="15" customHeight="1">
      <c r="A7" s="143"/>
      <c r="B7" s="572"/>
      <c r="C7" s="573"/>
      <c r="D7" s="583"/>
      <c r="E7" s="500">
        <v>2000</v>
      </c>
      <c r="F7" s="500">
        <v>2000</v>
      </c>
      <c r="G7" s="500">
        <v>2000</v>
      </c>
      <c r="H7" s="500" t="s">
        <v>157</v>
      </c>
      <c r="I7" s="501">
        <v>2001</v>
      </c>
      <c r="J7" s="502" t="s">
        <v>158</v>
      </c>
      <c r="K7" s="503" t="s">
        <v>159</v>
      </c>
    </row>
    <row r="8" spans="1:11" s="9" customFormat="1" ht="15" customHeight="1">
      <c r="A8" s="143"/>
      <c r="B8" s="572"/>
      <c r="C8" s="573"/>
      <c r="D8" s="583"/>
      <c r="E8" s="66" t="s">
        <v>301</v>
      </c>
      <c r="F8" s="66" t="s">
        <v>302</v>
      </c>
      <c r="G8" s="66" t="s">
        <v>303</v>
      </c>
      <c r="H8" s="66" t="s">
        <v>304</v>
      </c>
      <c r="I8" s="65" t="s">
        <v>301</v>
      </c>
      <c r="J8" s="501">
        <v>2001</v>
      </c>
      <c r="K8" s="504">
        <v>2001</v>
      </c>
    </row>
    <row r="9" spans="1:11" s="9" customFormat="1" ht="15" customHeight="1">
      <c r="A9" s="141"/>
      <c r="B9" s="567"/>
      <c r="C9" s="569"/>
      <c r="D9" s="571"/>
      <c r="E9" s="274"/>
      <c r="F9" s="19"/>
      <c r="G9" s="19"/>
      <c r="H9" s="19"/>
      <c r="I9" s="163"/>
      <c r="J9" s="65" t="s">
        <v>871</v>
      </c>
      <c r="K9" s="494" t="s">
        <v>871</v>
      </c>
    </row>
    <row r="10" spans="1:10" s="9" customFormat="1" ht="3.75" customHeight="1">
      <c r="A10" s="25"/>
      <c r="B10" s="505"/>
      <c r="C10" s="505"/>
      <c r="D10" s="506"/>
      <c r="E10" s="506"/>
      <c r="F10" s="506"/>
      <c r="G10" s="506"/>
      <c r="H10" s="506"/>
      <c r="I10" s="506"/>
      <c r="J10" s="192"/>
    </row>
    <row r="11" spans="1:11" s="9" customFormat="1" ht="18" customHeight="1">
      <c r="A11" s="25" t="s">
        <v>160</v>
      </c>
      <c r="B11" s="268">
        <v>-1.5644532206429251</v>
      </c>
      <c r="C11" s="268">
        <v>-2.979375344116164</v>
      </c>
      <c r="D11" s="268">
        <v>-4.442851515113466</v>
      </c>
      <c r="E11" s="268">
        <v>-5.168786278292348</v>
      </c>
      <c r="F11" s="268">
        <v>-4.975255085843533</v>
      </c>
      <c r="G11" s="268">
        <v>-4.442851515113466</v>
      </c>
      <c r="H11" s="268">
        <v>-5.189088213987869</v>
      </c>
      <c r="I11" s="268">
        <v>-4.679179346706963</v>
      </c>
      <c r="J11" s="268">
        <v>43619.348</v>
      </c>
      <c r="K11" s="268">
        <v>99.98893839495263</v>
      </c>
    </row>
    <row r="12" spans="1:11" s="9" customFormat="1" ht="18" customHeight="1">
      <c r="A12" s="26" t="s">
        <v>161</v>
      </c>
      <c r="B12" s="157">
        <v>-4.457456869710619</v>
      </c>
      <c r="C12" s="157">
        <v>-15.028174521216553</v>
      </c>
      <c r="D12" s="157">
        <v>-6.178688490743934</v>
      </c>
      <c r="E12" s="157">
        <v>-12.112365904242617</v>
      </c>
      <c r="F12" s="157">
        <v>-9.613805105351759</v>
      </c>
      <c r="G12" s="157">
        <v>-6.178688490743934</v>
      </c>
      <c r="H12" s="157">
        <v>-1.4722852574348466</v>
      </c>
      <c r="I12" s="157">
        <v>1.0080688279731298</v>
      </c>
      <c r="J12" s="157">
        <v>3353.279</v>
      </c>
      <c r="K12" s="157">
        <v>7.687595422104889</v>
      </c>
    </row>
    <row r="13" spans="1:11" s="9" customFormat="1" ht="18" customHeight="1">
      <c r="A13" s="26" t="s">
        <v>162</v>
      </c>
      <c r="B13" s="157">
        <v>-5.0556376321116865</v>
      </c>
      <c r="C13" s="157">
        <v>-7.78861577496639</v>
      </c>
      <c r="D13" s="157">
        <v>-18.928198982966826</v>
      </c>
      <c r="E13" s="157">
        <v>-16.526195521567534</v>
      </c>
      <c r="F13" s="157">
        <v>-21.243988440908833</v>
      </c>
      <c r="G13" s="157">
        <v>-18.928198982966826</v>
      </c>
      <c r="H13" s="157">
        <v>-18.641750964262403</v>
      </c>
      <c r="I13" s="157">
        <v>-22.75670634411976</v>
      </c>
      <c r="J13" s="157">
        <v>1048.536</v>
      </c>
      <c r="K13" s="157">
        <v>2.40383235439466</v>
      </c>
    </row>
    <row r="14" spans="1:11" s="9" customFormat="1" ht="18" customHeight="1">
      <c r="A14" s="26" t="s">
        <v>163</v>
      </c>
      <c r="B14" s="157">
        <v>-45.9688279577014</v>
      </c>
      <c r="C14" s="157">
        <v>11.432307095139848</v>
      </c>
      <c r="D14" s="157">
        <v>52.431936932807766</v>
      </c>
      <c r="E14" s="157">
        <v>71.79435261854776</v>
      </c>
      <c r="F14" s="157">
        <v>71.24351949498153</v>
      </c>
      <c r="G14" s="157">
        <v>52.431936932807766</v>
      </c>
      <c r="H14" s="157">
        <v>45.907327840707794</v>
      </c>
      <c r="I14" s="157">
        <v>-5.904429097225094</v>
      </c>
      <c r="J14" s="157">
        <v>455.065</v>
      </c>
      <c r="K14" s="157">
        <v>1.04326410381008</v>
      </c>
    </row>
    <row r="15" spans="1:11" s="9" customFormat="1" ht="18" customHeight="1">
      <c r="A15" s="26" t="s">
        <v>164</v>
      </c>
      <c r="B15" s="157">
        <v>12.995133861204833</v>
      </c>
      <c r="C15" s="157">
        <v>1.2793464919256925</v>
      </c>
      <c r="D15" s="157">
        <v>-2.2211686618466286</v>
      </c>
      <c r="E15" s="157">
        <v>6.897364235549763</v>
      </c>
      <c r="F15" s="157">
        <v>-2.8138508739697143</v>
      </c>
      <c r="G15" s="157">
        <v>-2.2211686618466286</v>
      </c>
      <c r="H15" s="157">
        <v>12.023303745289947</v>
      </c>
      <c r="I15" s="157">
        <v>14.345062790455621</v>
      </c>
      <c r="J15" s="157">
        <v>373.499</v>
      </c>
      <c r="K15" s="157">
        <v>0.8562691033346028</v>
      </c>
    </row>
    <row r="16" spans="1:11" s="9" customFormat="1" ht="18" customHeight="1">
      <c r="A16" s="26" t="s">
        <v>165</v>
      </c>
      <c r="B16" s="157">
        <v>-10.631172904921371</v>
      </c>
      <c r="C16" s="157">
        <v>-26.199623709465758</v>
      </c>
      <c r="D16" s="157">
        <v>0.5509376294328572</v>
      </c>
      <c r="E16" s="157">
        <v>-5.049634231955713</v>
      </c>
      <c r="F16" s="157">
        <v>-5.6912501099634305</v>
      </c>
      <c r="G16" s="157">
        <v>0.5509376294328572</v>
      </c>
      <c r="H16" s="157">
        <v>38.116064772808265</v>
      </c>
      <c r="I16" s="157">
        <v>46.83286088960712</v>
      </c>
      <c r="J16" s="157">
        <v>1219.35</v>
      </c>
      <c r="K16" s="157">
        <v>2.7954338061174138</v>
      </c>
    </row>
    <row r="17" spans="1:11" s="9" customFormat="1" ht="18" customHeight="1">
      <c r="A17" s="28" t="s">
        <v>166</v>
      </c>
      <c r="B17" s="157">
        <v>-3.1639262886040798</v>
      </c>
      <c r="C17" s="157">
        <v>5.618818297981676</v>
      </c>
      <c r="D17" s="157">
        <v>8.10068364943779</v>
      </c>
      <c r="E17" s="157">
        <v>-4.052968669577783</v>
      </c>
      <c r="F17" s="157">
        <v>4.761078816954445</v>
      </c>
      <c r="G17" s="157">
        <v>8.10068364943779</v>
      </c>
      <c r="H17" s="157">
        <v>1.5648059727406904</v>
      </c>
      <c r="I17" s="157">
        <v>0.5007100313971335</v>
      </c>
      <c r="J17" s="157">
        <v>9292.366</v>
      </c>
      <c r="K17" s="157">
        <v>21.303312465835116</v>
      </c>
    </row>
    <row r="18" spans="1:11" s="9" customFormat="1" ht="18" customHeight="1">
      <c r="A18" s="26" t="s">
        <v>167</v>
      </c>
      <c r="B18" s="157">
        <v>-9.795098992740792</v>
      </c>
      <c r="C18" s="157">
        <v>-20.31081721639839</v>
      </c>
      <c r="D18" s="157">
        <v>-16.711792817397754</v>
      </c>
      <c r="E18" s="157">
        <v>-11.283207105419656</v>
      </c>
      <c r="F18" s="157">
        <v>-2.7790754022097297</v>
      </c>
      <c r="G18" s="157">
        <v>-16.711792817397754</v>
      </c>
      <c r="H18" s="157">
        <v>-18.916367548291145</v>
      </c>
      <c r="I18" s="157">
        <v>-20.949588330696756</v>
      </c>
      <c r="J18" s="157">
        <v>4596.768</v>
      </c>
      <c r="K18" s="157">
        <v>10.538369349308018</v>
      </c>
    </row>
    <row r="19" spans="1:11" s="9" customFormat="1" ht="18" customHeight="1">
      <c r="A19" s="28" t="s">
        <v>168</v>
      </c>
      <c r="B19" s="157">
        <v>-6.540073367540245</v>
      </c>
      <c r="C19" s="157">
        <v>11.552864818004505</v>
      </c>
      <c r="D19" s="157">
        <v>-16.79768045519686</v>
      </c>
      <c r="E19" s="157">
        <v>-0.36665101616473184</v>
      </c>
      <c r="F19" s="157">
        <v>-7.128368858980306</v>
      </c>
      <c r="G19" s="157">
        <v>-16.79768045519686</v>
      </c>
      <c r="H19" s="157">
        <v>-16.70300711932845</v>
      </c>
      <c r="I19" s="157">
        <v>-8.000842312978506</v>
      </c>
      <c r="J19" s="157">
        <v>1708.233</v>
      </c>
      <c r="K19" s="157">
        <v>3.916227725366275</v>
      </c>
    </row>
    <row r="20" spans="1:11" s="9" customFormat="1" ht="18" customHeight="1">
      <c r="A20" s="28" t="s">
        <v>169</v>
      </c>
      <c r="B20" s="157">
        <v>-38.70983998696737</v>
      </c>
      <c r="C20" s="157">
        <v>10.39651671083881</v>
      </c>
      <c r="D20" s="157">
        <v>54.46968161670329</v>
      </c>
      <c r="E20" s="157">
        <v>40.82889912523313</v>
      </c>
      <c r="F20" s="157">
        <v>156.22277674423785</v>
      </c>
      <c r="G20" s="157">
        <v>54.46968161670329</v>
      </c>
      <c r="H20" s="157">
        <v>0.9310844709109256</v>
      </c>
      <c r="I20" s="157">
        <v>118.17045808067377</v>
      </c>
      <c r="J20" s="157">
        <v>1255.307</v>
      </c>
      <c r="K20" s="157">
        <v>2.877867408747146</v>
      </c>
    </row>
    <row r="21" spans="1:11" s="9" customFormat="1" ht="18" customHeight="1">
      <c r="A21" s="28" t="s">
        <v>170</v>
      </c>
      <c r="B21" s="157">
        <v>-25.206215231152886</v>
      </c>
      <c r="C21" s="157">
        <v>9706.463195691202</v>
      </c>
      <c r="D21" s="157">
        <v>169.3972078231168</v>
      </c>
      <c r="E21" s="157">
        <v>3722.1087194454576</v>
      </c>
      <c r="F21" s="157">
        <v>-22.25777744116032</v>
      </c>
      <c r="G21" s="157">
        <v>169.3972078231168</v>
      </c>
      <c r="H21" s="157">
        <v>146.08893989591678</v>
      </c>
      <c r="I21" s="157">
        <v>252.91416898934753</v>
      </c>
      <c r="J21" s="157">
        <v>1109.181</v>
      </c>
      <c r="K21" s="157">
        <v>2.542864693896846</v>
      </c>
    </row>
    <row r="22" spans="1:11" s="9" customFormat="1" ht="18" customHeight="1">
      <c r="A22" s="26" t="s">
        <v>171</v>
      </c>
      <c r="B22" s="157">
        <v>4.616804547302555</v>
      </c>
      <c r="C22" s="157">
        <v>-0.7906088246546261</v>
      </c>
      <c r="D22" s="157">
        <v>-9.283821831987805</v>
      </c>
      <c r="E22" s="157">
        <v>-5.283440437799102</v>
      </c>
      <c r="F22" s="157">
        <v>-10.216334106990566</v>
      </c>
      <c r="G22" s="157">
        <v>-9.283821831987805</v>
      </c>
      <c r="H22" s="157">
        <v>-8.26128712376688</v>
      </c>
      <c r="I22" s="157">
        <v>-11.420342347977641</v>
      </c>
      <c r="J22" s="157">
        <v>21080.039</v>
      </c>
      <c r="K22" s="157">
        <v>48.32726752357692</v>
      </c>
    </row>
    <row r="23" spans="1:11" s="9" customFormat="1" ht="18" customHeight="1">
      <c r="A23" s="26" t="s">
        <v>172</v>
      </c>
      <c r="B23" s="157">
        <v>-3.516522191277638</v>
      </c>
      <c r="C23" s="157">
        <v>-0.9226285113229649</v>
      </c>
      <c r="D23" s="157">
        <v>-5.8252028140714724</v>
      </c>
      <c r="E23" s="157">
        <v>-4.959627742147365</v>
      </c>
      <c r="F23" s="157">
        <v>-5.647631507164297</v>
      </c>
      <c r="G23" s="157">
        <v>-5.8252028140714724</v>
      </c>
      <c r="H23" s="157">
        <v>-4.752208164744665</v>
      </c>
      <c r="I23" s="157">
        <v>-2.893601663289358</v>
      </c>
      <c r="J23" s="157">
        <v>10681.597</v>
      </c>
      <c r="K23" s="157">
        <v>24.488208764606018</v>
      </c>
    </row>
    <row r="24" spans="1:11" s="9" customFormat="1" ht="18" customHeight="1">
      <c r="A24" s="26" t="s">
        <v>173</v>
      </c>
      <c r="B24" s="157">
        <v>12.236638243914854</v>
      </c>
      <c r="C24" s="157">
        <v>13.206410557142622</v>
      </c>
      <c r="D24" s="157">
        <v>-34.52789697692676</v>
      </c>
      <c r="E24" s="157">
        <v>24.89867334917111</v>
      </c>
      <c r="F24" s="157">
        <v>-30.872605959232402</v>
      </c>
      <c r="G24" s="157">
        <v>-34.52789697692676</v>
      </c>
      <c r="H24" s="157">
        <v>-27.556823951896593</v>
      </c>
      <c r="I24" s="157">
        <v>-39.54540126358498</v>
      </c>
      <c r="J24" s="157">
        <v>2527.105</v>
      </c>
      <c r="K24" s="157">
        <v>5.793541434869683</v>
      </c>
    </row>
    <row r="25" spans="1:11" s="9" customFormat="1" ht="18" customHeight="1">
      <c r="A25" s="26" t="s">
        <v>174</v>
      </c>
      <c r="B25" s="157">
        <v>13.366729916506447</v>
      </c>
      <c r="C25" s="157">
        <v>-6.863262990195407</v>
      </c>
      <c r="D25" s="157">
        <v>-0.2925057713771051</v>
      </c>
      <c r="E25" s="157">
        <v>-15.549717420225795</v>
      </c>
      <c r="F25" s="157">
        <v>-5.804901981305733</v>
      </c>
      <c r="G25" s="157">
        <v>-0.2925057713771051</v>
      </c>
      <c r="H25" s="157">
        <v>-3.5680666763917457</v>
      </c>
      <c r="I25" s="157">
        <v>-8.661588092422468</v>
      </c>
      <c r="J25" s="157">
        <v>7871.337</v>
      </c>
      <c r="K25" s="157">
        <v>18.045517324101223</v>
      </c>
    </row>
    <row r="26" spans="1:11" s="9" customFormat="1" ht="7.5" customHeight="1">
      <c r="A26" s="177"/>
      <c r="B26" s="507"/>
      <c r="C26" s="508"/>
      <c r="D26" s="508"/>
      <c r="E26" s="508"/>
      <c r="F26" s="508"/>
      <c r="G26" s="508"/>
      <c r="H26" s="508"/>
      <c r="I26" s="508"/>
      <c r="J26" s="508"/>
      <c r="K26" s="508"/>
    </row>
    <row r="27" spans="1:9" s="9" customFormat="1" ht="15" customHeight="1">
      <c r="A27" s="492" t="s">
        <v>175</v>
      </c>
      <c r="B27" s="505"/>
      <c r="C27" s="505"/>
      <c r="D27" s="277"/>
      <c r="E27" s="277"/>
      <c r="F27" s="277"/>
      <c r="G27" s="277"/>
      <c r="H27" s="277"/>
      <c r="I27" s="277"/>
    </row>
    <row r="28" spans="1:9" s="9" customFormat="1" ht="15" customHeight="1">
      <c r="A28" s="493" t="s">
        <v>152</v>
      </c>
      <c r="B28" s="505"/>
      <c r="C28" s="505"/>
      <c r="D28" s="277"/>
      <c r="E28" s="277"/>
      <c r="F28" s="277"/>
      <c r="G28" s="277"/>
      <c r="H28" s="277"/>
      <c r="I28" s="277"/>
    </row>
    <row r="29" spans="1:9" s="9" customFormat="1" ht="19.5" customHeight="1">
      <c r="A29" s="52"/>
      <c r="B29" s="505"/>
      <c r="C29" s="505"/>
      <c r="D29" s="277"/>
      <c r="E29" s="277"/>
      <c r="F29" s="277"/>
      <c r="G29" s="277"/>
      <c r="H29" s="277"/>
      <c r="I29" s="277"/>
    </row>
    <row r="30" spans="1:5" s="9" customFormat="1" ht="18.75" customHeight="1">
      <c r="A30" s="5" t="s">
        <v>176</v>
      </c>
      <c r="B30" s="8"/>
      <c r="E30" s="8"/>
    </row>
    <row r="31" spans="1:9" s="9" customFormat="1" ht="9.75" customHeight="1">
      <c r="A31" s="177"/>
      <c r="B31" s="187"/>
      <c r="C31" s="187"/>
      <c r="E31" s="8"/>
      <c r="I31" s="8"/>
    </row>
    <row r="32" spans="1:11" s="207" customFormat="1" ht="16.5" customHeight="1">
      <c r="A32" s="132"/>
      <c r="D32" s="566">
        <v>1998</v>
      </c>
      <c r="E32" s="568">
        <v>1999</v>
      </c>
      <c r="F32" s="570">
        <v>2000</v>
      </c>
      <c r="G32" s="38">
        <v>2000</v>
      </c>
      <c r="H32" s="38">
        <v>2000</v>
      </c>
      <c r="I32" s="38">
        <v>2000</v>
      </c>
      <c r="J32" s="38">
        <v>2001</v>
      </c>
      <c r="K32" s="38">
        <v>2001</v>
      </c>
    </row>
    <row r="33" spans="1:11" s="9" customFormat="1" ht="16.5" customHeight="1">
      <c r="A33" s="143"/>
      <c r="B33" s="8"/>
      <c r="C33" s="31"/>
      <c r="D33" s="572"/>
      <c r="E33" s="573"/>
      <c r="F33" s="583"/>
      <c r="G33" s="509" t="s">
        <v>301</v>
      </c>
      <c r="H33" s="66" t="s">
        <v>302</v>
      </c>
      <c r="I33" s="66" t="s">
        <v>303</v>
      </c>
      <c r="J33" s="66" t="s">
        <v>304</v>
      </c>
      <c r="K33" s="66" t="s">
        <v>301</v>
      </c>
    </row>
    <row r="34" spans="1:11" s="9" customFormat="1" ht="3.75" customHeight="1">
      <c r="A34" s="141"/>
      <c r="B34" s="187"/>
      <c r="C34" s="187"/>
      <c r="D34" s="16"/>
      <c r="E34" s="17"/>
      <c r="F34" s="17"/>
      <c r="G34" s="494"/>
      <c r="H34" s="69"/>
      <c r="I34" s="69"/>
      <c r="J34" s="69"/>
      <c r="K34" s="69"/>
    </row>
    <row r="35" spans="1:11" s="9" customFormat="1" ht="3.75" customHeight="1">
      <c r="A35" s="209"/>
      <c r="B35" s="8"/>
      <c r="D35" s="510"/>
      <c r="E35" s="505"/>
      <c r="F35" s="277"/>
      <c r="G35" s="277"/>
      <c r="H35" s="277"/>
      <c r="I35" s="277"/>
      <c r="J35" s="277"/>
      <c r="K35" s="277"/>
    </row>
    <row r="36" spans="1:11" s="9" customFormat="1" ht="18" customHeight="1">
      <c r="A36" s="171" t="s">
        <v>177</v>
      </c>
      <c r="B36" s="8"/>
      <c r="D36" s="511">
        <v>797.8797</v>
      </c>
      <c r="E36" s="512">
        <v>799.1763</v>
      </c>
      <c r="F36" s="513">
        <v>802.5958</v>
      </c>
      <c r="G36" s="513">
        <v>802.4434</v>
      </c>
      <c r="H36" s="513">
        <v>803.2023</v>
      </c>
      <c r="I36" s="513">
        <v>803.2483</v>
      </c>
      <c r="J36" s="513">
        <v>803.3549</v>
      </c>
      <c r="K36" s="513">
        <v>803.3408</v>
      </c>
    </row>
    <row r="37" spans="1:11" s="9" customFormat="1" ht="18" customHeight="1">
      <c r="A37" s="176" t="s">
        <v>178</v>
      </c>
      <c r="B37" s="8"/>
      <c r="D37" s="511">
        <v>895.3187</v>
      </c>
      <c r="E37" s="512">
        <v>852.7665</v>
      </c>
      <c r="F37" s="513">
        <v>741.8318</v>
      </c>
      <c r="G37" s="513">
        <v>749.6007</v>
      </c>
      <c r="H37" s="513">
        <v>728.2144</v>
      </c>
      <c r="I37" s="513">
        <v>696.6766</v>
      </c>
      <c r="J37" s="513">
        <v>741.6284</v>
      </c>
      <c r="K37" s="513">
        <v>701.1969</v>
      </c>
    </row>
    <row r="38" spans="1:11" s="9" customFormat="1" ht="18" customHeight="1">
      <c r="A38" s="52" t="s">
        <v>179</v>
      </c>
      <c r="B38" s="8"/>
      <c r="D38" s="514">
        <v>6.1143</v>
      </c>
      <c r="E38" s="515">
        <v>7.0386</v>
      </c>
      <c r="F38" s="516">
        <v>7.4505</v>
      </c>
      <c r="G38" s="516">
        <v>7.5252</v>
      </c>
      <c r="H38" s="516">
        <v>7.4616</v>
      </c>
      <c r="I38" s="516">
        <v>7.3223</v>
      </c>
      <c r="J38" s="516">
        <v>6.7967</v>
      </c>
      <c r="K38" s="516">
        <v>6.5611</v>
      </c>
    </row>
    <row r="39" spans="1:11" s="9" customFormat="1" ht="18" customHeight="1">
      <c r="A39" s="52" t="s">
        <v>180</v>
      </c>
      <c r="B39" s="8"/>
      <c r="D39" s="517">
        <v>96.3743</v>
      </c>
      <c r="E39" s="518">
        <v>96.5414</v>
      </c>
      <c r="F39" s="519">
        <v>96.9506</v>
      </c>
      <c r="G39" s="519">
        <v>96.9361</v>
      </c>
      <c r="H39" s="519">
        <v>97.0155</v>
      </c>
      <c r="I39" s="519">
        <v>97.0375</v>
      </c>
      <c r="J39" s="519">
        <v>97.0555</v>
      </c>
      <c r="K39" s="519">
        <v>97.0555</v>
      </c>
    </row>
    <row r="40" spans="1:11" s="9" customFormat="1" ht="7.5" customHeight="1">
      <c r="A40" s="177"/>
      <c r="B40" s="187"/>
      <c r="C40" s="187"/>
      <c r="D40" s="520"/>
      <c r="E40" s="271"/>
      <c r="F40" s="271"/>
      <c r="G40" s="491"/>
      <c r="H40" s="491"/>
      <c r="I40" s="491"/>
      <c r="J40" s="491"/>
      <c r="K40" s="491"/>
    </row>
    <row r="41" spans="1:8" s="521" customFormat="1" ht="15" customHeight="1">
      <c r="A41" s="492" t="s">
        <v>181</v>
      </c>
      <c r="D41" s="236"/>
      <c r="H41" s="236"/>
    </row>
    <row r="42" ht="16.5">
      <c r="A42" s="492" t="s">
        <v>182</v>
      </c>
    </row>
    <row r="43" ht="16.5">
      <c r="A43" s="493" t="s">
        <v>183</v>
      </c>
    </row>
    <row r="44" ht="19.5" customHeight="1"/>
    <row r="45" ht="16.5">
      <c r="A45" s="522" t="s">
        <v>184</v>
      </c>
    </row>
    <row r="46" spans="1:11" s="9" customFormat="1" ht="15" customHeight="1">
      <c r="A46" s="177"/>
      <c r="B46" s="187"/>
      <c r="C46" s="187"/>
      <c r="D46" s="8"/>
      <c r="G46" s="8"/>
      <c r="K46" s="523" t="s">
        <v>185</v>
      </c>
    </row>
    <row r="47" spans="1:11" s="207" customFormat="1" ht="16.5" customHeight="1">
      <c r="A47" s="132"/>
      <c r="D47" s="566">
        <v>1998</v>
      </c>
      <c r="E47" s="568">
        <v>1999</v>
      </c>
      <c r="F47" s="570">
        <v>2000</v>
      </c>
      <c r="G47" s="38">
        <v>2000</v>
      </c>
      <c r="H47" s="38">
        <v>2000</v>
      </c>
      <c r="I47" s="38">
        <v>2000</v>
      </c>
      <c r="J47" s="38">
        <v>2001</v>
      </c>
      <c r="K47" s="38">
        <v>2001</v>
      </c>
    </row>
    <row r="48" spans="1:11" s="9" customFormat="1" ht="16.5" customHeight="1">
      <c r="A48" s="143"/>
      <c r="B48" s="8"/>
      <c r="C48" s="31"/>
      <c r="D48" s="572"/>
      <c r="E48" s="573"/>
      <c r="F48" s="583"/>
      <c r="G48" s="509" t="s">
        <v>186</v>
      </c>
      <c r="H48" s="66" t="s">
        <v>187</v>
      </c>
      <c r="I48" s="66" t="s">
        <v>188</v>
      </c>
      <c r="J48" s="66" t="s">
        <v>189</v>
      </c>
      <c r="K48" s="66" t="s">
        <v>186</v>
      </c>
    </row>
    <row r="49" spans="1:11" s="9" customFormat="1" ht="3.75" customHeight="1">
      <c r="A49" s="269"/>
      <c r="B49" s="187"/>
      <c r="C49" s="187"/>
      <c r="D49" s="520"/>
      <c r="E49" s="271"/>
      <c r="F49" s="271"/>
      <c r="G49" s="520"/>
      <c r="H49" s="271"/>
      <c r="I49" s="271"/>
      <c r="J49" s="271"/>
      <c r="K49" s="271"/>
    </row>
    <row r="50" spans="1:11" s="9" customFormat="1" ht="3.75" customHeight="1">
      <c r="A50" s="209"/>
      <c r="B50" s="8"/>
      <c r="D50" s="510"/>
      <c r="E50" s="505"/>
      <c r="F50" s="277"/>
      <c r="G50" s="277"/>
      <c r="H50" s="277"/>
      <c r="I50" s="277"/>
      <c r="J50" s="277"/>
      <c r="K50" s="277"/>
    </row>
    <row r="51" spans="1:7" ht="18" customHeight="1">
      <c r="A51" s="52" t="s">
        <v>190</v>
      </c>
      <c r="B51" s="23"/>
      <c r="D51" s="22"/>
      <c r="F51" s="23"/>
      <c r="G51" s="23"/>
    </row>
    <row r="52" spans="1:11" ht="18" customHeight="1">
      <c r="A52" s="52" t="s">
        <v>191</v>
      </c>
      <c r="B52" s="23"/>
      <c r="D52" s="524">
        <v>4</v>
      </c>
      <c r="E52" s="525">
        <v>3.5</v>
      </c>
      <c r="F52" s="526">
        <v>4.5</v>
      </c>
      <c r="G52" s="528">
        <v>4.5</v>
      </c>
      <c r="H52" s="528">
        <v>4.5</v>
      </c>
      <c r="I52" s="528">
        <v>4.5</v>
      </c>
      <c r="J52" s="528">
        <v>3</v>
      </c>
      <c r="K52" s="529">
        <v>2</v>
      </c>
    </row>
    <row r="53" spans="1:11" ht="18" customHeight="1">
      <c r="A53" s="52" t="s">
        <v>192</v>
      </c>
      <c r="B53" s="23"/>
      <c r="D53" s="524">
        <v>4.75</v>
      </c>
      <c r="E53" s="525">
        <v>4.25</v>
      </c>
      <c r="F53" s="526">
        <v>5.25</v>
      </c>
      <c r="G53" s="528">
        <v>5.25</v>
      </c>
      <c r="H53" s="528">
        <v>5.25</v>
      </c>
      <c r="I53" s="528">
        <v>5.25</v>
      </c>
      <c r="J53" s="528">
        <v>3.75</v>
      </c>
      <c r="K53" s="9">
        <v>2.75</v>
      </c>
    </row>
    <row r="54" spans="1:11" ht="9" customHeight="1">
      <c r="A54" s="52"/>
      <c r="B54" s="23"/>
      <c r="D54" s="41"/>
      <c r="E54" s="9"/>
      <c r="F54" s="8"/>
      <c r="G54" s="9"/>
      <c r="H54" s="9"/>
      <c r="I54" s="9"/>
      <c r="J54" s="9"/>
      <c r="K54" s="9"/>
    </row>
    <row r="55" spans="1:11" ht="18" customHeight="1">
      <c r="A55" s="52" t="s">
        <v>193</v>
      </c>
      <c r="B55" s="23"/>
      <c r="D55" s="41"/>
      <c r="E55" s="9"/>
      <c r="F55" s="8"/>
      <c r="G55" s="9"/>
      <c r="H55" s="9"/>
      <c r="I55" s="9"/>
      <c r="J55" s="9"/>
      <c r="K55" s="9"/>
    </row>
    <row r="56" spans="1:11" ht="18" customHeight="1">
      <c r="A56" s="52" t="s">
        <v>194</v>
      </c>
      <c r="B56" s="23"/>
      <c r="D56" s="530">
        <v>5.3</v>
      </c>
      <c r="E56" s="531">
        <v>5.7</v>
      </c>
      <c r="F56" s="532">
        <v>6.2875</v>
      </c>
      <c r="G56" s="531">
        <v>6.125</v>
      </c>
      <c r="H56" s="531">
        <v>6.3</v>
      </c>
      <c r="I56" s="531">
        <v>6.2875</v>
      </c>
      <c r="J56" s="531">
        <v>5.15</v>
      </c>
      <c r="K56" s="9">
        <v>3.8063</v>
      </c>
    </row>
    <row r="57" spans="1:11" ht="18" customHeight="1">
      <c r="A57" s="52" t="s">
        <v>195</v>
      </c>
      <c r="B57" s="23"/>
      <c r="D57" s="530">
        <v>5.3375</v>
      </c>
      <c r="E57" s="531">
        <v>5.85625</v>
      </c>
      <c r="F57" s="532">
        <v>5.925</v>
      </c>
      <c r="G57" s="531">
        <v>6.475</v>
      </c>
      <c r="H57" s="531">
        <v>6.331</v>
      </c>
      <c r="I57" s="531">
        <v>5.925</v>
      </c>
      <c r="J57" s="531">
        <v>4.9375</v>
      </c>
      <c r="K57" s="9">
        <v>3.8125</v>
      </c>
    </row>
    <row r="58" spans="1:11" ht="3.75" customHeight="1">
      <c r="A58" s="533"/>
      <c r="B58" s="34"/>
      <c r="C58" s="34"/>
      <c r="D58" s="33"/>
      <c r="E58" s="34"/>
      <c r="F58" s="34"/>
      <c r="G58" s="34"/>
      <c r="H58" s="34"/>
      <c r="I58" s="34"/>
      <c r="J58" s="34"/>
      <c r="K58" s="34"/>
    </row>
    <row r="59" ht="16.5">
      <c r="A59" s="452" t="s">
        <v>196</v>
      </c>
    </row>
    <row r="60" ht="16.5">
      <c r="A60" s="493" t="s">
        <v>183</v>
      </c>
    </row>
  </sheetData>
  <mergeCells count="9">
    <mergeCell ref="B6:B9"/>
    <mergeCell ref="C6:C9"/>
    <mergeCell ref="D6:D9"/>
    <mergeCell ref="D32:D33"/>
    <mergeCell ref="E32:E33"/>
    <mergeCell ref="F32:F33"/>
    <mergeCell ref="D47:D48"/>
    <mergeCell ref="E47:E48"/>
    <mergeCell ref="F47:F4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M54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75390625" style="537" customWidth="1"/>
    <col min="2" max="2" width="11.00390625" style="537" customWidth="1"/>
    <col min="3" max="3" width="7.875" style="543" customWidth="1"/>
    <col min="4" max="4" width="7.625" style="537" customWidth="1"/>
    <col min="5" max="5" width="7.50390625" style="537" customWidth="1"/>
    <col min="6" max="6" width="7.625" style="537" customWidth="1"/>
    <col min="7" max="7" width="6.625" style="543" customWidth="1"/>
    <col min="8" max="10" width="6.625" style="537" customWidth="1"/>
    <col min="11" max="11" width="6.625" style="74" customWidth="1"/>
    <col min="12" max="12" width="7.625" style="0" customWidth="1"/>
  </cols>
  <sheetData>
    <row r="1" spans="1:11" s="57" customFormat="1" ht="15" customHeight="1">
      <c r="A1" s="534" t="s">
        <v>197</v>
      </c>
      <c r="B1" s="535"/>
      <c r="C1" s="105"/>
      <c r="D1" s="44"/>
      <c r="E1" s="44"/>
      <c r="F1" s="44"/>
      <c r="G1" s="105"/>
      <c r="H1" s="44"/>
      <c r="I1" s="44"/>
      <c r="J1" s="44"/>
      <c r="K1" s="105"/>
    </row>
    <row r="2" spans="1:11" s="57" customFormat="1" ht="15" customHeight="1">
      <c r="A2" s="536"/>
      <c r="B2" s="535"/>
      <c r="C2" s="105"/>
      <c r="D2" s="44"/>
      <c r="E2" s="44"/>
      <c r="F2" s="44"/>
      <c r="G2" s="105"/>
      <c r="H2" s="44"/>
      <c r="I2" s="44"/>
      <c r="J2" s="44"/>
      <c r="K2" s="105"/>
    </row>
    <row r="3" spans="1:11" s="57" customFormat="1" ht="15" customHeight="1">
      <c r="A3" s="536"/>
      <c r="B3" s="535"/>
      <c r="C3" s="105"/>
      <c r="D3" s="44"/>
      <c r="E3" s="44"/>
      <c r="F3" s="44"/>
      <c r="G3" s="105"/>
      <c r="H3" s="44"/>
      <c r="I3" s="44"/>
      <c r="J3" s="44"/>
      <c r="K3" s="105"/>
    </row>
    <row r="4" spans="1:11" s="57" customFormat="1" ht="15" customHeight="1">
      <c r="A4" s="57" t="s">
        <v>198</v>
      </c>
      <c r="B4" s="537"/>
      <c r="C4" s="105"/>
      <c r="D4" s="44"/>
      <c r="E4" s="44"/>
      <c r="F4" s="44"/>
      <c r="G4" s="105"/>
      <c r="H4" s="44"/>
      <c r="I4" s="44"/>
      <c r="J4" s="44"/>
      <c r="K4" s="105"/>
    </row>
    <row r="5" spans="1:12" s="57" customFormat="1" ht="15" customHeight="1">
      <c r="A5" s="254"/>
      <c r="B5" s="254"/>
      <c r="C5" s="105"/>
      <c r="D5" s="44"/>
      <c r="E5" s="44"/>
      <c r="F5" s="44"/>
      <c r="G5" s="105"/>
      <c r="H5" s="44"/>
      <c r="I5" s="44"/>
      <c r="J5" s="44"/>
      <c r="K5" s="105"/>
      <c r="L5" s="259"/>
    </row>
    <row r="6" spans="1:12" s="57" customFormat="1" ht="16.5" customHeight="1">
      <c r="A6" s="60"/>
      <c r="B6" s="460"/>
      <c r="C6" s="568">
        <v>1998</v>
      </c>
      <c r="D6" s="568">
        <v>1999</v>
      </c>
      <c r="E6" s="568">
        <v>2000</v>
      </c>
      <c r="F6" s="408">
        <v>2001</v>
      </c>
      <c r="G6" s="38">
        <v>2000</v>
      </c>
      <c r="H6" s="38">
        <v>2000</v>
      </c>
      <c r="I6" s="38">
        <v>2000</v>
      </c>
      <c r="J6" s="38">
        <v>2001</v>
      </c>
      <c r="K6" s="38">
        <v>2001</v>
      </c>
      <c r="L6" s="461"/>
    </row>
    <row r="7" spans="1:12" s="57" customFormat="1" ht="16.5" customHeight="1">
      <c r="A7" s="63"/>
      <c r="B7" s="463"/>
      <c r="C7" s="573"/>
      <c r="D7" s="573"/>
      <c r="E7" s="573"/>
      <c r="F7" s="65" t="s">
        <v>199</v>
      </c>
      <c r="G7" s="66" t="s">
        <v>200</v>
      </c>
      <c r="H7" s="66" t="s">
        <v>201</v>
      </c>
      <c r="I7" s="66" t="s">
        <v>202</v>
      </c>
      <c r="J7" s="66" t="s">
        <v>203</v>
      </c>
      <c r="K7" s="246" t="s">
        <v>200</v>
      </c>
      <c r="L7" s="464" t="s">
        <v>204</v>
      </c>
    </row>
    <row r="8" spans="1:12" s="57" customFormat="1" ht="16.5" customHeight="1">
      <c r="A8" s="377"/>
      <c r="B8" s="67"/>
      <c r="C8" s="569"/>
      <c r="D8" s="569"/>
      <c r="E8" s="569"/>
      <c r="F8" s="465" t="s">
        <v>200</v>
      </c>
      <c r="G8" s="69"/>
      <c r="H8" s="69"/>
      <c r="I8" s="69"/>
      <c r="J8" s="69"/>
      <c r="K8" s="69"/>
      <c r="L8" s="260"/>
    </row>
    <row r="9" spans="1:12" s="57" customFormat="1" ht="9.75" customHeight="1">
      <c r="A9" s="63"/>
      <c r="B9" s="463"/>
      <c r="C9" s="50"/>
      <c r="D9" s="50"/>
      <c r="E9" s="50"/>
      <c r="F9" s="466"/>
      <c r="G9" s="466"/>
      <c r="H9" s="466"/>
      <c r="I9" s="466"/>
      <c r="J9" s="466"/>
      <c r="K9" s="466"/>
      <c r="L9" s="250"/>
    </row>
    <row r="10" spans="1:12" s="57" customFormat="1" ht="16.5" customHeight="1">
      <c r="A10" s="467" t="s">
        <v>205</v>
      </c>
      <c r="B10" s="75" t="s">
        <v>206</v>
      </c>
      <c r="C10" s="86">
        <v>479</v>
      </c>
      <c r="D10" s="86">
        <v>439</v>
      </c>
      <c r="E10" s="86">
        <v>716</v>
      </c>
      <c r="F10" s="86">
        <v>390</v>
      </c>
      <c r="G10" s="86">
        <v>163</v>
      </c>
      <c r="H10" s="86">
        <v>205</v>
      </c>
      <c r="I10" s="86">
        <v>187</v>
      </c>
      <c r="J10" s="86">
        <v>188</v>
      </c>
      <c r="K10" s="86">
        <v>202</v>
      </c>
      <c r="L10" s="84">
        <v>100</v>
      </c>
    </row>
    <row r="11" spans="1:12" s="57" customFormat="1" ht="16.5" customHeight="1">
      <c r="A11" s="467"/>
      <c r="B11" s="75" t="s">
        <v>207</v>
      </c>
      <c r="C11" s="84">
        <v>-28</v>
      </c>
      <c r="D11" s="84">
        <v>-8.4</v>
      </c>
      <c r="E11" s="84">
        <v>63.1</v>
      </c>
      <c r="F11" s="84">
        <v>20.4</v>
      </c>
      <c r="G11" s="84">
        <v>21.6</v>
      </c>
      <c r="H11" s="84">
        <v>83</v>
      </c>
      <c r="I11" s="84">
        <v>149.3</v>
      </c>
      <c r="J11" s="84">
        <v>16.8</v>
      </c>
      <c r="K11" s="84">
        <v>23.9</v>
      </c>
      <c r="L11" s="84"/>
    </row>
    <row r="12" spans="1:12" s="57" customFormat="1" ht="16.5" customHeight="1">
      <c r="A12" s="467"/>
      <c r="B12" s="75"/>
      <c r="C12" s="86"/>
      <c r="D12" s="86"/>
      <c r="E12" s="86"/>
      <c r="F12" s="86"/>
      <c r="G12" s="86"/>
      <c r="H12" s="86"/>
      <c r="I12" s="86"/>
      <c r="J12" s="86"/>
      <c r="K12" s="86"/>
      <c r="L12" s="84"/>
    </row>
    <row r="13" spans="1:12" s="57" customFormat="1" ht="16.5" customHeight="1">
      <c r="A13" s="128" t="s">
        <v>208</v>
      </c>
      <c r="B13" s="75"/>
      <c r="C13" s="86"/>
      <c r="D13" s="86"/>
      <c r="E13" s="86"/>
      <c r="F13" s="86"/>
      <c r="G13" s="86"/>
      <c r="H13" s="86"/>
      <c r="I13" s="86"/>
      <c r="J13" s="86"/>
      <c r="K13" s="86"/>
      <c r="L13" s="84"/>
    </row>
    <row r="14" spans="1:12" s="44" customFormat="1" ht="16.5" customHeight="1">
      <c r="A14" s="105" t="s">
        <v>209</v>
      </c>
      <c r="B14" s="76"/>
      <c r="C14" s="115" t="s">
        <v>210</v>
      </c>
      <c r="D14" s="115" t="s">
        <v>210</v>
      </c>
      <c r="E14" s="86">
        <v>39</v>
      </c>
      <c r="F14" s="86">
        <v>30</v>
      </c>
      <c r="G14" s="86">
        <v>8</v>
      </c>
      <c r="H14" s="86">
        <v>9</v>
      </c>
      <c r="I14" s="86">
        <v>9</v>
      </c>
      <c r="J14" s="86">
        <v>9</v>
      </c>
      <c r="K14" s="86">
        <v>21</v>
      </c>
      <c r="L14" s="84">
        <v>10.4</v>
      </c>
    </row>
    <row r="15" spans="1:12" s="44" customFormat="1" ht="16.5" customHeight="1">
      <c r="A15" s="105" t="s">
        <v>211</v>
      </c>
      <c r="B15" s="76"/>
      <c r="C15" s="115" t="s">
        <v>210</v>
      </c>
      <c r="D15" s="115" t="s">
        <v>210</v>
      </c>
      <c r="E15" s="86">
        <v>61</v>
      </c>
      <c r="F15" s="86">
        <v>25</v>
      </c>
      <c r="G15" s="86">
        <v>10</v>
      </c>
      <c r="H15" s="86">
        <v>21</v>
      </c>
      <c r="I15" s="86">
        <v>15</v>
      </c>
      <c r="J15" s="86">
        <v>15</v>
      </c>
      <c r="K15" s="86">
        <v>10</v>
      </c>
      <c r="L15" s="84">
        <v>5</v>
      </c>
    </row>
    <row r="16" spans="1:12" s="44" customFormat="1" ht="16.5" customHeight="1">
      <c r="A16" s="105" t="s">
        <v>212</v>
      </c>
      <c r="B16" s="76"/>
      <c r="C16" s="115" t="s">
        <v>210</v>
      </c>
      <c r="D16" s="115" t="s">
        <v>210</v>
      </c>
      <c r="E16" s="86">
        <v>332</v>
      </c>
      <c r="F16" s="86">
        <v>167</v>
      </c>
      <c r="G16" s="86">
        <v>82</v>
      </c>
      <c r="H16" s="86">
        <v>83</v>
      </c>
      <c r="I16" s="86">
        <v>94</v>
      </c>
      <c r="J16" s="86">
        <v>80</v>
      </c>
      <c r="K16" s="86">
        <v>87</v>
      </c>
      <c r="L16" s="84">
        <v>43.1</v>
      </c>
    </row>
    <row r="17" spans="1:12" s="44" customFormat="1" ht="16.5" customHeight="1">
      <c r="A17" s="105" t="s">
        <v>213</v>
      </c>
      <c r="B17" s="76"/>
      <c r="C17" s="115" t="s">
        <v>210</v>
      </c>
      <c r="D17" s="115" t="s">
        <v>210</v>
      </c>
      <c r="E17" s="86">
        <v>14</v>
      </c>
      <c r="F17" s="86">
        <v>8</v>
      </c>
      <c r="G17" s="86">
        <v>3</v>
      </c>
      <c r="H17" s="86">
        <v>4</v>
      </c>
      <c r="I17" s="86">
        <v>2</v>
      </c>
      <c r="J17" s="86">
        <v>3</v>
      </c>
      <c r="K17" s="86">
        <v>5</v>
      </c>
      <c r="L17" s="84">
        <v>2.5</v>
      </c>
    </row>
    <row r="18" spans="1:12" s="44" customFormat="1" ht="16.5" customHeight="1">
      <c r="A18" s="105" t="s">
        <v>214</v>
      </c>
      <c r="B18" s="76"/>
      <c r="C18" s="115" t="s">
        <v>210</v>
      </c>
      <c r="D18" s="115" t="s">
        <v>210</v>
      </c>
      <c r="E18" s="86">
        <v>33</v>
      </c>
      <c r="F18" s="86">
        <v>21</v>
      </c>
      <c r="G18" s="86">
        <v>7</v>
      </c>
      <c r="H18" s="86">
        <v>13</v>
      </c>
      <c r="I18" s="86">
        <v>7</v>
      </c>
      <c r="J18" s="86">
        <v>12</v>
      </c>
      <c r="K18" s="86">
        <v>9</v>
      </c>
      <c r="L18" s="84">
        <v>4.5</v>
      </c>
    </row>
    <row r="19" spans="1:12" s="44" customFormat="1" ht="16.5" customHeight="1">
      <c r="A19" s="105" t="s">
        <v>215</v>
      </c>
      <c r="B19" s="76"/>
      <c r="C19" s="115" t="s">
        <v>210</v>
      </c>
      <c r="D19" s="115" t="s">
        <v>210</v>
      </c>
      <c r="E19" s="86">
        <v>27</v>
      </c>
      <c r="F19" s="86">
        <v>14</v>
      </c>
      <c r="G19" s="86">
        <v>4</v>
      </c>
      <c r="H19" s="86">
        <v>13</v>
      </c>
      <c r="I19" s="86">
        <v>3</v>
      </c>
      <c r="J19" s="86">
        <v>8</v>
      </c>
      <c r="K19" s="86">
        <v>6</v>
      </c>
      <c r="L19" s="84">
        <v>3</v>
      </c>
    </row>
    <row r="20" spans="1:12" s="44" customFormat="1" ht="16.5" customHeight="1">
      <c r="A20" s="105" t="s">
        <v>216</v>
      </c>
      <c r="B20" s="76"/>
      <c r="C20" s="115" t="s">
        <v>210</v>
      </c>
      <c r="D20" s="115" t="s">
        <v>210</v>
      </c>
      <c r="E20" s="86">
        <v>71</v>
      </c>
      <c r="F20" s="86">
        <v>33</v>
      </c>
      <c r="G20" s="86">
        <v>16</v>
      </c>
      <c r="H20" s="86">
        <v>20</v>
      </c>
      <c r="I20" s="86">
        <v>20</v>
      </c>
      <c r="J20" s="86">
        <v>16</v>
      </c>
      <c r="K20" s="86">
        <v>17</v>
      </c>
      <c r="L20" s="84">
        <v>8.4</v>
      </c>
    </row>
    <row r="21" spans="1:12" s="44" customFormat="1" ht="16.5" customHeight="1">
      <c r="A21" s="105" t="s">
        <v>217</v>
      </c>
      <c r="B21" s="76"/>
      <c r="C21" s="115" t="s">
        <v>210</v>
      </c>
      <c r="D21" s="115" t="s">
        <v>210</v>
      </c>
      <c r="E21" s="86">
        <v>49</v>
      </c>
      <c r="F21" s="86">
        <v>14</v>
      </c>
      <c r="G21" s="86">
        <v>13</v>
      </c>
      <c r="H21" s="86">
        <v>17</v>
      </c>
      <c r="I21" s="86">
        <v>11</v>
      </c>
      <c r="J21" s="86">
        <v>9</v>
      </c>
      <c r="K21" s="86">
        <v>5</v>
      </c>
      <c r="L21" s="84">
        <v>2.5</v>
      </c>
    </row>
    <row r="22" spans="1:12" s="44" customFormat="1" ht="16.5" customHeight="1">
      <c r="A22" s="538" t="s">
        <v>218</v>
      </c>
      <c r="B22" s="76"/>
      <c r="C22" s="115" t="s">
        <v>210</v>
      </c>
      <c r="D22" s="115" t="s">
        <v>210</v>
      </c>
      <c r="E22" s="86">
        <v>52</v>
      </c>
      <c r="F22" s="86">
        <v>58</v>
      </c>
      <c r="G22" s="86">
        <v>11</v>
      </c>
      <c r="H22" s="86">
        <v>15</v>
      </c>
      <c r="I22" s="86">
        <v>15</v>
      </c>
      <c r="J22" s="86">
        <v>26</v>
      </c>
      <c r="K22" s="86">
        <v>32</v>
      </c>
      <c r="L22" s="84">
        <v>15.8</v>
      </c>
    </row>
    <row r="23" spans="1:12" s="57" customFormat="1" ht="16.5" customHeight="1">
      <c r="A23" s="128"/>
      <c r="B23" s="75"/>
      <c r="C23" s="539"/>
      <c r="D23" s="539"/>
      <c r="E23" s="539"/>
      <c r="F23" s="86"/>
      <c r="G23" s="539"/>
      <c r="H23" s="539"/>
      <c r="I23" s="539"/>
      <c r="J23" s="539"/>
      <c r="K23" s="539"/>
      <c r="L23" s="540"/>
    </row>
    <row r="24" spans="1:12" s="57" customFormat="1" ht="16.5" customHeight="1">
      <c r="A24" s="128" t="s">
        <v>219</v>
      </c>
      <c r="B24" s="75" t="s">
        <v>220</v>
      </c>
      <c r="C24" s="86">
        <v>176010</v>
      </c>
      <c r="D24" s="86">
        <v>258471</v>
      </c>
      <c r="E24" s="86">
        <v>216869</v>
      </c>
      <c r="F24" s="86">
        <v>127862</v>
      </c>
      <c r="G24" s="86">
        <v>40187</v>
      </c>
      <c r="H24" s="86">
        <v>65948</v>
      </c>
      <c r="I24" s="86">
        <v>94623</v>
      </c>
      <c r="J24" s="86">
        <v>74618</v>
      </c>
      <c r="K24" s="86">
        <v>53244</v>
      </c>
      <c r="L24" s="84">
        <v>100</v>
      </c>
    </row>
    <row r="25" spans="1:12" s="57" customFormat="1" ht="16.5" customHeight="1">
      <c r="A25" s="128"/>
      <c r="B25" s="75" t="s">
        <v>207</v>
      </c>
      <c r="C25" s="84">
        <v>27.8</v>
      </c>
      <c r="D25" s="84">
        <v>46.9</v>
      </c>
      <c r="E25" s="84">
        <v>-16.1</v>
      </c>
      <c r="F25" s="84">
        <v>127.1</v>
      </c>
      <c r="G25" s="84">
        <v>-34.2</v>
      </c>
      <c r="H25" s="84">
        <v>-59.1</v>
      </c>
      <c r="I25" s="84">
        <v>373.8</v>
      </c>
      <c r="J25" s="84">
        <v>363.1</v>
      </c>
      <c r="K25" s="84">
        <v>32.5</v>
      </c>
      <c r="L25" s="84"/>
    </row>
    <row r="26" spans="1:12" s="57" customFormat="1" ht="16.5" customHeight="1">
      <c r="A26" s="128"/>
      <c r="B26" s="75"/>
      <c r="C26" s="86"/>
      <c r="D26" s="86"/>
      <c r="E26" s="86"/>
      <c r="F26" s="86"/>
      <c r="G26" s="86"/>
      <c r="H26" s="86"/>
      <c r="I26" s="86"/>
      <c r="J26" s="86"/>
      <c r="K26" s="86"/>
      <c r="L26" s="84"/>
    </row>
    <row r="27" spans="1:12" s="44" customFormat="1" ht="16.5" customHeight="1">
      <c r="A27" s="105" t="s">
        <v>209</v>
      </c>
      <c r="B27" s="76"/>
      <c r="C27" s="115" t="s">
        <v>210</v>
      </c>
      <c r="D27" s="115" t="s">
        <v>210</v>
      </c>
      <c r="E27" s="86">
        <v>3756</v>
      </c>
      <c r="F27" s="86">
        <v>13756</v>
      </c>
      <c r="G27" s="86">
        <v>721</v>
      </c>
      <c r="H27" s="86">
        <v>1040</v>
      </c>
      <c r="I27" s="86">
        <v>1205</v>
      </c>
      <c r="J27" s="86">
        <v>1530</v>
      </c>
      <c r="K27" s="86">
        <v>12226</v>
      </c>
      <c r="L27" s="84">
        <v>23</v>
      </c>
    </row>
    <row r="28" spans="1:12" s="44" customFormat="1" ht="16.5" customHeight="1">
      <c r="A28" s="105" t="s">
        <v>211</v>
      </c>
      <c r="B28" s="76"/>
      <c r="C28" s="115" t="s">
        <v>210</v>
      </c>
      <c r="D28" s="115" t="s">
        <v>210</v>
      </c>
      <c r="E28" s="86">
        <v>6791</v>
      </c>
      <c r="F28" s="86">
        <v>2640</v>
      </c>
      <c r="G28" s="86">
        <v>601</v>
      </c>
      <c r="H28" s="86">
        <v>3275</v>
      </c>
      <c r="I28" s="86">
        <v>1200</v>
      </c>
      <c r="J28" s="86">
        <v>1665</v>
      </c>
      <c r="K28" s="86">
        <v>975</v>
      </c>
      <c r="L28" s="84">
        <v>1.8</v>
      </c>
    </row>
    <row r="29" spans="1:12" s="44" customFormat="1" ht="16.5" customHeight="1">
      <c r="A29" s="105" t="s">
        <v>212</v>
      </c>
      <c r="B29" s="76"/>
      <c r="C29" s="115" t="s">
        <v>210</v>
      </c>
      <c r="D29" s="115" t="s">
        <v>210</v>
      </c>
      <c r="E29" s="86">
        <v>27275</v>
      </c>
      <c r="F29" s="86">
        <v>19596</v>
      </c>
      <c r="G29" s="86">
        <v>6177</v>
      </c>
      <c r="H29" s="86">
        <v>6785</v>
      </c>
      <c r="I29" s="86">
        <v>7312</v>
      </c>
      <c r="J29" s="86">
        <v>9098</v>
      </c>
      <c r="K29" s="86">
        <v>10498</v>
      </c>
      <c r="L29" s="84">
        <v>19.7</v>
      </c>
    </row>
    <row r="30" spans="1:12" s="44" customFormat="1" ht="16.5" customHeight="1">
      <c r="A30" s="105" t="s">
        <v>213</v>
      </c>
      <c r="B30" s="76"/>
      <c r="C30" s="115" t="s">
        <v>210</v>
      </c>
      <c r="D30" s="115" t="s">
        <v>210</v>
      </c>
      <c r="E30" s="86">
        <v>1570</v>
      </c>
      <c r="F30" s="86">
        <v>1375</v>
      </c>
      <c r="G30" s="86">
        <v>200</v>
      </c>
      <c r="H30" s="86">
        <v>175</v>
      </c>
      <c r="I30" s="86">
        <v>205</v>
      </c>
      <c r="J30" s="86">
        <v>1125</v>
      </c>
      <c r="K30" s="86">
        <v>250</v>
      </c>
      <c r="L30" s="84">
        <v>0.5</v>
      </c>
    </row>
    <row r="31" spans="1:12" s="44" customFormat="1" ht="16.5" customHeight="1">
      <c r="A31" s="105" t="s">
        <v>214</v>
      </c>
      <c r="B31" s="76"/>
      <c r="C31" s="115" t="s">
        <v>210</v>
      </c>
      <c r="D31" s="115" t="s">
        <v>210</v>
      </c>
      <c r="E31" s="86">
        <v>28500</v>
      </c>
      <c r="F31" s="86">
        <v>7190</v>
      </c>
      <c r="G31" s="86">
        <v>4900</v>
      </c>
      <c r="H31" s="86">
        <v>18735</v>
      </c>
      <c r="I31" s="86">
        <v>4290</v>
      </c>
      <c r="J31" s="86">
        <v>3875</v>
      </c>
      <c r="K31" s="86">
        <v>3315</v>
      </c>
      <c r="L31" s="84">
        <v>6.2</v>
      </c>
    </row>
    <row r="32" spans="1:12" s="44" customFormat="1" ht="16.5" customHeight="1">
      <c r="A32" s="105" t="s">
        <v>215</v>
      </c>
      <c r="B32" s="76"/>
      <c r="C32" s="115" t="s">
        <v>210</v>
      </c>
      <c r="D32" s="115" t="s">
        <v>210</v>
      </c>
      <c r="E32" s="86">
        <v>8146</v>
      </c>
      <c r="F32" s="86">
        <v>53143</v>
      </c>
      <c r="G32" s="86">
        <v>750</v>
      </c>
      <c r="H32" s="86">
        <v>4771</v>
      </c>
      <c r="I32" s="86">
        <v>2050</v>
      </c>
      <c r="J32" s="86">
        <v>51850</v>
      </c>
      <c r="K32" s="86">
        <v>1293</v>
      </c>
      <c r="L32" s="84">
        <v>2.4</v>
      </c>
    </row>
    <row r="33" spans="1:12" s="44" customFormat="1" ht="16.5" customHeight="1">
      <c r="A33" s="105" t="s">
        <v>216</v>
      </c>
      <c r="B33" s="76"/>
      <c r="C33" s="115" t="s">
        <v>210</v>
      </c>
      <c r="D33" s="115" t="s">
        <v>210</v>
      </c>
      <c r="E33" s="86">
        <v>32458</v>
      </c>
      <c r="F33" s="86">
        <v>5665</v>
      </c>
      <c r="G33" s="86">
        <v>10910</v>
      </c>
      <c r="H33" s="86">
        <v>13002</v>
      </c>
      <c r="I33" s="86">
        <v>7006</v>
      </c>
      <c r="J33" s="86">
        <v>1340</v>
      </c>
      <c r="K33" s="86">
        <v>4325</v>
      </c>
      <c r="L33" s="84">
        <v>8.1</v>
      </c>
    </row>
    <row r="34" spans="1:12" s="44" customFormat="1" ht="16.5" customHeight="1">
      <c r="A34" s="105" t="s">
        <v>217</v>
      </c>
      <c r="B34" s="76"/>
      <c r="C34" s="115" t="s">
        <v>210</v>
      </c>
      <c r="D34" s="115" t="s">
        <v>210</v>
      </c>
      <c r="E34" s="86">
        <v>16277</v>
      </c>
      <c r="F34" s="86">
        <v>12658</v>
      </c>
      <c r="G34" s="86">
        <v>11932</v>
      </c>
      <c r="H34" s="86">
        <v>1240</v>
      </c>
      <c r="I34" s="86">
        <v>2680</v>
      </c>
      <c r="J34" s="86">
        <v>458</v>
      </c>
      <c r="K34" s="86">
        <v>12200</v>
      </c>
      <c r="L34" s="84">
        <v>22.9</v>
      </c>
    </row>
    <row r="35" spans="1:12" s="44" customFormat="1" ht="16.5" customHeight="1">
      <c r="A35" s="538" t="s">
        <v>218</v>
      </c>
      <c r="B35" s="76"/>
      <c r="C35" s="115" t="s">
        <v>210</v>
      </c>
      <c r="D35" s="115" t="s">
        <v>210</v>
      </c>
      <c r="E35" s="86">
        <v>8620</v>
      </c>
      <c r="F35" s="86">
        <v>7454</v>
      </c>
      <c r="G35" s="86">
        <v>3360</v>
      </c>
      <c r="H35" s="86">
        <v>1390</v>
      </c>
      <c r="I35" s="86">
        <v>2870</v>
      </c>
      <c r="J35" s="86">
        <v>2082</v>
      </c>
      <c r="K35" s="86">
        <v>5372</v>
      </c>
      <c r="L35" s="84">
        <v>10.1</v>
      </c>
    </row>
    <row r="36" spans="1:12" s="44" customFormat="1" ht="16.5" customHeight="1">
      <c r="A36" s="105"/>
      <c r="B36" s="76"/>
      <c r="C36" s="541"/>
      <c r="D36" s="541"/>
      <c r="E36" s="541"/>
      <c r="F36" s="86"/>
      <c r="G36" s="541"/>
      <c r="H36" s="541"/>
      <c r="I36" s="541"/>
      <c r="J36" s="86"/>
      <c r="K36" s="86"/>
      <c r="L36" s="539"/>
    </row>
    <row r="37" spans="1:12" s="44" customFormat="1" ht="16.5" customHeight="1">
      <c r="A37" s="105"/>
      <c r="B37" s="76"/>
      <c r="C37" s="541"/>
      <c r="D37" s="541"/>
      <c r="E37" s="541"/>
      <c r="F37" s="86"/>
      <c r="G37" s="541"/>
      <c r="H37" s="541"/>
      <c r="I37" s="541"/>
      <c r="J37" s="86"/>
      <c r="K37" s="86"/>
      <c r="L37" s="539"/>
    </row>
    <row r="38" spans="1:12" s="57" customFormat="1" ht="16.5" customHeight="1">
      <c r="A38" s="467" t="s">
        <v>221</v>
      </c>
      <c r="B38" s="75" t="s">
        <v>206</v>
      </c>
      <c r="C38" s="86">
        <v>59</v>
      </c>
      <c r="D38" s="86">
        <v>69</v>
      </c>
      <c r="E38" s="86">
        <v>111</v>
      </c>
      <c r="F38" s="86">
        <v>41</v>
      </c>
      <c r="G38" s="86">
        <v>34</v>
      </c>
      <c r="H38" s="86">
        <v>22</v>
      </c>
      <c r="I38" s="86">
        <v>26</v>
      </c>
      <c r="J38" s="86">
        <v>17</v>
      </c>
      <c r="K38" s="86">
        <v>24</v>
      </c>
      <c r="L38" s="84">
        <v>100</v>
      </c>
    </row>
    <row r="39" spans="1:12" s="57" customFormat="1" ht="16.5" customHeight="1">
      <c r="A39" s="467"/>
      <c r="B39" s="75" t="s">
        <v>207</v>
      </c>
      <c r="C39" s="84">
        <v>40.5</v>
      </c>
      <c r="D39" s="84">
        <v>16.9</v>
      </c>
      <c r="E39" s="84">
        <v>60.9</v>
      </c>
      <c r="F39" s="84">
        <v>-34.9</v>
      </c>
      <c r="G39" s="84">
        <v>100</v>
      </c>
      <c r="H39" s="84">
        <v>100</v>
      </c>
      <c r="I39" s="84">
        <v>85.7</v>
      </c>
      <c r="J39" s="84">
        <v>-41.4</v>
      </c>
      <c r="K39" s="84">
        <v>-29.4</v>
      </c>
      <c r="L39" s="84"/>
    </row>
    <row r="40" spans="1:12" s="57" customFormat="1" ht="16.5" customHeight="1">
      <c r="A40" s="467"/>
      <c r="B40" s="75"/>
      <c r="C40" s="86"/>
      <c r="D40" s="86"/>
      <c r="E40" s="86"/>
      <c r="F40" s="86"/>
      <c r="G40" s="86"/>
      <c r="H40" s="86"/>
      <c r="I40" s="86"/>
      <c r="J40" s="86"/>
      <c r="K40" s="86"/>
      <c r="L40" s="84"/>
    </row>
    <row r="41" spans="1:12" s="57" customFormat="1" ht="16.5" customHeight="1">
      <c r="A41" s="128" t="s">
        <v>208</v>
      </c>
      <c r="B41" s="75"/>
      <c r="C41" s="86"/>
      <c r="D41" s="86"/>
      <c r="E41" s="86"/>
      <c r="F41" s="86"/>
      <c r="G41" s="86"/>
      <c r="H41" s="86"/>
      <c r="I41" s="86"/>
      <c r="J41" s="86"/>
      <c r="K41" s="86"/>
      <c r="L41" s="84"/>
    </row>
    <row r="42" spans="1:12" s="44" customFormat="1" ht="16.5" customHeight="1">
      <c r="A42" s="105" t="s">
        <v>209</v>
      </c>
      <c r="B42" s="76"/>
      <c r="C42" s="115" t="s">
        <v>210</v>
      </c>
      <c r="D42" s="115" t="s">
        <v>210</v>
      </c>
      <c r="E42" s="86">
        <v>7</v>
      </c>
      <c r="F42" s="86">
        <v>3</v>
      </c>
      <c r="G42" s="86">
        <v>4</v>
      </c>
      <c r="H42" s="86">
        <v>1</v>
      </c>
      <c r="I42" s="86">
        <v>1</v>
      </c>
      <c r="J42" s="86">
        <v>2</v>
      </c>
      <c r="K42" s="86">
        <v>1</v>
      </c>
      <c r="L42" s="84">
        <v>4.2</v>
      </c>
    </row>
    <row r="43" spans="1:12" s="44" customFormat="1" ht="16.5" customHeight="1">
      <c r="A43" s="105" t="s">
        <v>211</v>
      </c>
      <c r="B43" s="76"/>
      <c r="C43" s="115" t="s">
        <v>210</v>
      </c>
      <c r="D43" s="115" t="s">
        <v>210</v>
      </c>
      <c r="E43" s="86">
        <v>13</v>
      </c>
      <c r="F43" s="86">
        <v>1</v>
      </c>
      <c r="G43" s="86">
        <v>2</v>
      </c>
      <c r="H43" s="86">
        <v>5</v>
      </c>
      <c r="I43" s="542">
        <v>0</v>
      </c>
      <c r="J43" s="542">
        <v>0</v>
      </c>
      <c r="K43" s="86">
        <v>1</v>
      </c>
      <c r="L43" s="542">
        <v>4.2</v>
      </c>
    </row>
    <row r="44" spans="1:12" s="44" customFormat="1" ht="16.5" customHeight="1">
      <c r="A44" s="105" t="s">
        <v>212</v>
      </c>
      <c r="B44" s="76"/>
      <c r="C44" s="115" t="s">
        <v>210</v>
      </c>
      <c r="D44" s="115" t="s">
        <v>210</v>
      </c>
      <c r="E44" s="86">
        <v>43</v>
      </c>
      <c r="F44" s="86">
        <v>15</v>
      </c>
      <c r="G44" s="86">
        <v>14</v>
      </c>
      <c r="H44" s="86">
        <v>5</v>
      </c>
      <c r="I44" s="86">
        <v>14</v>
      </c>
      <c r="J44" s="86">
        <v>6</v>
      </c>
      <c r="K44" s="86">
        <v>9</v>
      </c>
      <c r="L44" s="84">
        <v>37.5</v>
      </c>
    </row>
    <row r="45" spans="1:12" s="44" customFormat="1" ht="16.5" customHeight="1">
      <c r="A45" s="105" t="s">
        <v>213</v>
      </c>
      <c r="B45" s="76"/>
      <c r="C45" s="115" t="s">
        <v>210</v>
      </c>
      <c r="D45" s="115" t="s">
        <v>210</v>
      </c>
      <c r="E45" s="86">
        <v>1</v>
      </c>
      <c r="F45" s="542">
        <v>0</v>
      </c>
      <c r="G45" s="542">
        <v>0</v>
      </c>
      <c r="H45" s="542">
        <v>0</v>
      </c>
      <c r="I45" s="86">
        <v>1</v>
      </c>
      <c r="J45" s="542">
        <v>0</v>
      </c>
      <c r="K45" s="542" t="s">
        <v>222</v>
      </c>
      <c r="L45" s="542">
        <v>0</v>
      </c>
    </row>
    <row r="46" spans="1:12" s="44" customFormat="1" ht="16.5" customHeight="1">
      <c r="A46" s="105" t="s">
        <v>214</v>
      </c>
      <c r="B46" s="76"/>
      <c r="C46" s="115" t="s">
        <v>210</v>
      </c>
      <c r="D46" s="115" t="s">
        <v>210</v>
      </c>
      <c r="E46" s="86">
        <v>4</v>
      </c>
      <c r="F46" s="86">
        <v>1</v>
      </c>
      <c r="G46" s="86">
        <v>3</v>
      </c>
      <c r="H46" s="542">
        <v>0</v>
      </c>
      <c r="I46" s="86">
        <v>1</v>
      </c>
      <c r="J46" s="542">
        <v>0</v>
      </c>
      <c r="K46" s="86">
        <v>1</v>
      </c>
      <c r="L46" s="542">
        <v>4.2</v>
      </c>
    </row>
    <row r="47" spans="1:12" s="44" customFormat="1" ht="16.5" customHeight="1">
      <c r="A47" s="105" t="s">
        <v>215</v>
      </c>
      <c r="B47" s="76"/>
      <c r="C47" s="115" t="s">
        <v>210</v>
      </c>
      <c r="D47" s="115" t="s">
        <v>210</v>
      </c>
      <c r="E47" s="86">
        <v>10</v>
      </c>
      <c r="F47" s="86">
        <v>5</v>
      </c>
      <c r="G47" s="86">
        <v>2</v>
      </c>
      <c r="H47" s="86">
        <v>1</v>
      </c>
      <c r="I47" s="86">
        <v>5</v>
      </c>
      <c r="J47" s="86">
        <v>4</v>
      </c>
      <c r="K47" s="86">
        <v>1</v>
      </c>
      <c r="L47" s="84">
        <v>4.2</v>
      </c>
    </row>
    <row r="48" spans="1:12" s="44" customFormat="1" ht="16.5" customHeight="1">
      <c r="A48" s="105" t="s">
        <v>216</v>
      </c>
      <c r="B48" s="76"/>
      <c r="C48" s="115" t="s">
        <v>210</v>
      </c>
      <c r="D48" s="115" t="s">
        <v>210</v>
      </c>
      <c r="E48" s="86">
        <v>25</v>
      </c>
      <c r="F48" s="86">
        <v>11</v>
      </c>
      <c r="G48" s="86">
        <v>6</v>
      </c>
      <c r="H48" s="86">
        <v>9</v>
      </c>
      <c r="I48" s="86">
        <v>4</v>
      </c>
      <c r="J48" s="86">
        <v>3</v>
      </c>
      <c r="K48" s="86">
        <v>8</v>
      </c>
      <c r="L48" s="84">
        <v>33.3</v>
      </c>
    </row>
    <row r="49" spans="1:12" s="44" customFormat="1" ht="16.5" customHeight="1">
      <c r="A49" s="105" t="s">
        <v>217</v>
      </c>
      <c r="B49" s="76"/>
      <c r="C49" s="115" t="s">
        <v>210</v>
      </c>
      <c r="D49" s="115" t="s">
        <v>210</v>
      </c>
      <c r="E49" s="542">
        <v>0</v>
      </c>
      <c r="F49" s="542">
        <v>0</v>
      </c>
      <c r="G49" s="542">
        <v>0</v>
      </c>
      <c r="H49" s="542">
        <v>0</v>
      </c>
      <c r="I49" s="542">
        <v>0</v>
      </c>
      <c r="J49" s="542">
        <v>0</v>
      </c>
      <c r="K49" s="542" t="s">
        <v>222</v>
      </c>
      <c r="L49" s="542">
        <v>0</v>
      </c>
    </row>
    <row r="50" spans="1:12" s="44" customFormat="1" ht="16.5" customHeight="1">
      <c r="A50" s="538" t="s">
        <v>218</v>
      </c>
      <c r="B50" s="76"/>
      <c r="C50" s="115" t="s">
        <v>210</v>
      </c>
      <c r="D50" s="115" t="s">
        <v>210</v>
      </c>
      <c r="E50" s="86">
        <v>6</v>
      </c>
      <c r="F50" s="86">
        <v>3</v>
      </c>
      <c r="G50" s="86">
        <v>1</v>
      </c>
      <c r="H50" s="86">
        <v>1</v>
      </c>
      <c r="I50" s="542">
        <v>0</v>
      </c>
      <c r="J50" s="86">
        <v>1</v>
      </c>
      <c r="K50" s="86">
        <v>2</v>
      </c>
      <c r="L50" s="84">
        <v>8.3</v>
      </c>
    </row>
    <row r="51" spans="1:13" ht="9.75" customHeight="1">
      <c r="A51" s="127"/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74"/>
    </row>
    <row r="52" spans="1:11" ht="16.5">
      <c r="A52"/>
      <c r="B52" s="128"/>
      <c r="C52"/>
      <c r="D52"/>
      <c r="E52"/>
      <c r="F52"/>
      <c r="G52"/>
      <c r="H52"/>
      <c r="I52"/>
      <c r="J52"/>
      <c r="K52"/>
    </row>
    <row r="53" spans="1:11" ht="16.5">
      <c r="A53"/>
      <c r="B53" s="128"/>
      <c r="C53"/>
      <c r="D53"/>
      <c r="E53"/>
      <c r="F53"/>
      <c r="G53"/>
      <c r="H53"/>
      <c r="I53"/>
      <c r="J53"/>
      <c r="K53"/>
    </row>
    <row r="54" spans="1:11" ht="16.5">
      <c r="A54"/>
      <c r="B54"/>
      <c r="C54"/>
      <c r="D54"/>
      <c r="E54"/>
      <c r="F54"/>
      <c r="G54"/>
      <c r="H54"/>
      <c r="I54"/>
      <c r="J54"/>
      <c r="K54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L125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2" width="10.375" style="0" customWidth="1"/>
    <col min="3" max="5" width="8.125" style="0" customWidth="1"/>
    <col min="6" max="6" width="8.50390625" style="0" customWidth="1"/>
    <col min="7" max="11" width="8.125" style="0" customWidth="1"/>
  </cols>
  <sheetData>
    <row r="1" spans="1:11" s="44" customFormat="1" ht="15" customHeight="1">
      <c r="A1" s="55" t="s">
        <v>223</v>
      </c>
      <c r="B1" s="543"/>
      <c r="C1" s="105"/>
      <c r="G1" s="105"/>
      <c r="K1" s="105"/>
    </row>
    <row r="2" spans="1:11" s="44" customFormat="1" ht="10.5" customHeight="1">
      <c r="A2" s="58"/>
      <c r="B2" s="543"/>
      <c r="C2" s="105"/>
      <c r="G2" s="105"/>
      <c r="K2" s="105"/>
    </row>
    <row r="3" spans="1:11" s="44" customFormat="1" ht="10.5" customHeight="1">
      <c r="A3" s="58"/>
      <c r="B3" s="543"/>
      <c r="C3" s="105"/>
      <c r="G3" s="105"/>
      <c r="K3" s="105"/>
    </row>
    <row r="4" spans="1:11" s="44" customFormat="1" ht="15" customHeight="1">
      <c r="A4" s="544" t="s">
        <v>224</v>
      </c>
      <c r="B4" s="543"/>
      <c r="C4" s="105"/>
      <c r="G4" s="105"/>
      <c r="K4" s="105"/>
    </row>
    <row r="5" spans="1:11" s="44" customFormat="1" ht="9.75" customHeight="1">
      <c r="A5" s="128"/>
      <c r="B5" s="128"/>
      <c r="C5" s="477"/>
      <c r="G5" s="105"/>
      <c r="K5" s="105"/>
    </row>
    <row r="6" spans="1:12" s="44" customFormat="1" ht="15" customHeight="1">
      <c r="A6" s="60"/>
      <c r="B6" s="60"/>
      <c r="C6" s="566">
        <v>1998</v>
      </c>
      <c r="D6" s="568">
        <v>1999</v>
      </c>
      <c r="E6" s="568">
        <v>2000</v>
      </c>
      <c r="F6" s="408">
        <v>2001</v>
      </c>
      <c r="G6" s="38">
        <v>2000</v>
      </c>
      <c r="H6" s="38">
        <v>2000</v>
      </c>
      <c r="I6" s="38">
        <v>2000</v>
      </c>
      <c r="J6" s="38">
        <v>2001</v>
      </c>
      <c r="K6" s="38">
        <v>2001</v>
      </c>
      <c r="L6" s="105"/>
    </row>
    <row r="7" spans="1:12" s="44" customFormat="1" ht="15" customHeight="1">
      <c r="A7" s="63"/>
      <c r="B7" s="63"/>
      <c r="C7" s="572"/>
      <c r="D7" s="573"/>
      <c r="E7" s="573"/>
      <c r="F7" s="65" t="s">
        <v>225</v>
      </c>
      <c r="G7" s="66" t="s">
        <v>226</v>
      </c>
      <c r="H7" s="66" t="s">
        <v>227</v>
      </c>
      <c r="I7" s="66" t="s">
        <v>228</v>
      </c>
      <c r="J7" s="66" t="s">
        <v>229</v>
      </c>
      <c r="K7" s="246" t="s">
        <v>226</v>
      </c>
      <c r="L7" s="105"/>
    </row>
    <row r="8" spans="1:12" s="44" customFormat="1" ht="15" customHeight="1">
      <c r="A8" s="377"/>
      <c r="B8" s="377"/>
      <c r="C8" s="567"/>
      <c r="D8" s="569"/>
      <c r="E8" s="569"/>
      <c r="F8" s="465" t="s">
        <v>226</v>
      </c>
      <c r="G8" s="69"/>
      <c r="H8" s="69"/>
      <c r="I8" s="69"/>
      <c r="J8" s="69"/>
      <c r="K8" s="69"/>
      <c r="L8" s="105"/>
    </row>
    <row r="9" spans="1:11" s="44" customFormat="1" ht="9.75" customHeight="1">
      <c r="A9" s="63"/>
      <c r="B9" s="63"/>
      <c r="C9" s="64"/>
      <c r="D9" s="50"/>
      <c r="E9" s="50"/>
      <c r="F9" s="466"/>
      <c r="G9" s="66"/>
      <c r="H9" s="66"/>
      <c r="I9" s="66"/>
      <c r="J9" s="466"/>
      <c r="K9" s="466"/>
    </row>
    <row r="10" spans="1:11" s="257" customFormat="1" ht="15" customHeight="1">
      <c r="A10" s="467" t="s">
        <v>230</v>
      </c>
      <c r="B10" s="76" t="s">
        <v>231</v>
      </c>
      <c r="C10" s="115" t="s">
        <v>232</v>
      </c>
      <c r="D10" s="99">
        <v>98986</v>
      </c>
      <c r="E10" s="99">
        <v>102113</v>
      </c>
      <c r="F10" s="99">
        <f>SUM(J10:K10)-1</f>
        <v>44430</v>
      </c>
      <c r="G10" s="99">
        <v>26681</v>
      </c>
      <c r="H10" s="99">
        <v>30215</v>
      </c>
      <c r="I10" s="99">
        <v>24435</v>
      </c>
      <c r="J10" s="99">
        <v>19847</v>
      </c>
      <c r="K10" s="99">
        <v>24584</v>
      </c>
    </row>
    <row r="11" spans="1:11" s="257" customFormat="1" ht="15" customHeight="1">
      <c r="A11" s="467"/>
      <c r="B11" s="75" t="s">
        <v>233</v>
      </c>
      <c r="C11" s="115" t="s">
        <v>232</v>
      </c>
      <c r="D11" s="88" t="s">
        <v>234</v>
      </c>
      <c r="E11" s="84">
        <v>3.2</v>
      </c>
      <c r="F11" s="84">
        <v>-6.4</v>
      </c>
      <c r="G11" s="84">
        <v>3.8</v>
      </c>
      <c r="H11" s="84">
        <v>10.7</v>
      </c>
      <c r="I11" s="84">
        <v>4.3</v>
      </c>
      <c r="J11" s="84">
        <v>-4.5</v>
      </c>
      <c r="K11" s="84">
        <v>-7.9</v>
      </c>
    </row>
    <row r="12" spans="1:11" s="257" customFormat="1" ht="7.5" customHeight="1">
      <c r="A12" s="467"/>
      <c r="B12" s="75"/>
      <c r="C12" s="86"/>
      <c r="D12" s="86"/>
      <c r="E12" s="86"/>
      <c r="F12" s="86"/>
      <c r="G12" s="86"/>
      <c r="H12" s="86"/>
      <c r="I12" s="86"/>
      <c r="J12" s="86"/>
      <c r="K12" s="86"/>
    </row>
    <row r="13" spans="1:11" s="257" customFormat="1" ht="15" customHeight="1">
      <c r="A13" s="128" t="s">
        <v>235</v>
      </c>
      <c r="B13" s="76"/>
      <c r="C13" s="115" t="s">
        <v>232</v>
      </c>
      <c r="D13" s="99">
        <v>49243</v>
      </c>
      <c r="E13" s="99">
        <v>50888</v>
      </c>
      <c r="F13" s="99">
        <v>21623</v>
      </c>
      <c r="G13" s="99">
        <v>13109</v>
      </c>
      <c r="H13" s="99">
        <v>15442</v>
      </c>
      <c r="I13" s="99">
        <v>12056</v>
      </c>
      <c r="J13" s="99">
        <v>9567</v>
      </c>
      <c r="K13" s="99">
        <v>12056</v>
      </c>
    </row>
    <row r="14" spans="1:11" s="257" customFormat="1" ht="15" customHeight="1">
      <c r="A14" s="128" t="s">
        <v>236</v>
      </c>
      <c r="B14" s="76"/>
      <c r="C14" s="115" t="s">
        <v>232</v>
      </c>
      <c r="D14" s="99">
        <v>49743</v>
      </c>
      <c r="E14" s="99">
        <v>51225</v>
      </c>
      <c r="F14" s="99">
        <v>22808</v>
      </c>
      <c r="G14" s="99">
        <v>13572</v>
      </c>
      <c r="H14" s="99">
        <v>14773</v>
      </c>
      <c r="I14" s="99">
        <v>12379</v>
      </c>
      <c r="J14" s="99">
        <v>10280</v>
      </c>
      <c r="K14" s="99">
        <v>12528</v>
      </c>
    </row>
    <row r="15" spans="1:11" s="257" customFormat="1" ht="15" customHeight="1" hidden="1">
      <c r="A15" s="467"/>
      <c r="B15" s="75"/>
      <c r="C15" s="86"/>
      <c r="D15" s="86"/>
      <c r="E15" s="86"/>
      <c r="F15" s="86"/>
      <c r="G15" s="86"/>
      <c r="H15" s="86"/>
      <c r="I15" s="86"/>
      <c r="J15" s="86"/>
      <c r="K15" s="86"/>
    </row>
    <row r="16" spans="1:11" s="257" customFormat="1" ht="15" customHeight="1" hidden="1">
      <c r="A16" s="105" t="s">
        <v>237</v>
      </c>
      <c r="B16" s="75" t="s">
        <v>238</v>
      </c>
      <c r="C16" s="86"/>
      <c r="D16" s="86"/>
      <c r="E16" s="86"/>
      <c r="F16" s="86"/>
      <c r="G16" s="86"/>
      <c r="H16" s="86"/>
      <c r="I16" s="86"/>
      <c r="J16" s="86"/>
      <c r="K16" s="86"/>
    </row>
    <row r="17" spans="1:11" s="257" customFormat="1" ht="15" customHeight="1" hidden="1">
      <c r="A17" s="105"/>
      <c r="B17" s="75" t="s">
        <v>233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1:11" s="257" customFormat="1" ht="15" customHeight="1" hidden="1">
      <c r="A18" s="105"/>
      <c r="B18" s="75"/>
      <c r="C18" s="86"/>
      <c r="D18" s="86"/>
      <c r="E18" s="86"/>
      <c r="F18" s="86"/>
      <c r="G18" s="86"/>
      <c r="H18" s="86"/>
      <c r="I18" s="86"/>
      <c r="J18" s="86"/>
      <c r="K18" s="86"/>
    </row>
    <row r="19" spans="1:11" s="257" customFormat="1" ht="15" customHeight="1" hidden="1">
      <c r="A19" s="105" t="s">
        <v>239</v>
      </c>
      <c r="B19" s="75" t="s">
        <v>238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1:11" s="257" customFormat="1" ht="15" customHeight="1" hidden="1">
      <c r="A20" s="105"/>
      <c r="B20" s="75" t="s">
        <v>233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1:11" s="257" customFormat="1" ht="15" customHeight="1" hidden="1">
      <c r="A21" s="105"/>
      <c r="B21" s="75"/>
      <c r="C21" s="86"/>
      <c r="D21" s="86"/>
      <c r="E21" s="86"/>
      <c r="F21" s="86"/>
      <c r="G21" s="86"/>
      <c r="H21" s="86"/>
      <c r="I21" s="86"/>
      <c r="J21" s="86"/>
      <c r="K21" s="86"/>
    </row>
    <row r="22" spans="1:11" s="257" customFormat="1" ht="15" customHeight="1" hidden="1">
      <c r="A22" s="105" t="s">
        <v>240</v>
      </c>
      <c r="B22" s="75" t="s">
        <v>238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1:11" s="257" customFormat="1" ht="15" customHeight="1" hidden="1">
      <c r="A23" s="105"/>
      <c r="B23" s="75" t="s">
        <v>233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1:11" s="257" customFormat="1" ht="15" customHeight="1" hidden="1">
      <c r="A24" s="105"/>
      <c r="B24" s="75"/>
      <c r="C24" s="86"/>
      <c r="D24" s="86"/>
      <c r="E24" s="86"/>
      <c r="F24" s="86"/>
      <c r="G24" s="86"/>
      <c r="H24" s="86"/>
      <c r="I24" s="86"/>
      <c r="J24" s="86"/>
      <c r="K24" s="86"/>
    </row>
    <row r="25" spans="1:11" s="257" customFormat="1" ht="15" customHeight="1" hidden="1">
      <c r="A25" s="105" t="s">
        <v>241</v>
      </c>
      <c r="B25" s="75" t="s">
        <v>238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1:11" s="257" customFormat="1" ht="15" customHeight="1" hidden="1">
      <c r="A26" s="105"/>
      <c r="B26" s="75" t="s">
        <v>233</v>
      </c>
      <c r="C26" s="86"/>
      <c r="D26" s="86"/>
      <c r="E26" s="86"/>
      <c r="F26" s="86"/>
      <c r="G26" s="86"/>
      <c r="H26" s="86"/>
      <c r="I26" s="86"/>
      <c r="J26" s="86"/>
      <c r="K26" s="86"/>
    </row>
    <row r="27" spans="1:11" s="257" customFormat="1" ht="15" customHeight="1" hidden="1">
      <c r="A27" s="105"/>
      <c r="B27" s="75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4" customFormat="1" ht="15" customHeight="1" hidden="1">
      <c r="A28" s="128" t="s">
        <v>242</v>
      </c>
      <c r="B28" s="76" t="s">
        <v>231</v>
      </c>
      <c r="C28" s="86"/>
      <c r="D28" s="86"/>
      <c r="E28" s="86"/>
      <c r="F28" s="86"/>
      <c r="G28" s="86"/>
      <c r="H28" s="86"/>
      <c r="I28" s="86"/>
      <c r="J28" s="86"/>
      <c r="K28" s="86"/>
    </row>
    <row r="29" spans="1:11" s="44" customFormat="1" ht="15" customHeight="1" hidden="1">
      <c r="A29" s="128"/>
      <c r="B29" s="75" t="s">
        <v>233</v>
      </c>
      <c r="C29" s="86"/>
      <c r="D29" s="86"/>
      <c r="E29" s="86"/>
      <c r="F29" s="86"/>
      <c r="G29" s="86"/>
      <c r="H29" s="86"/>
      <c r="I29" s="86"/>
      <c r="J29" s="86"/>
      <c r="K29" s="86"/>
    </row>
    <row r="30" spans="1:11" s="44" customFormat="1" ht="15" customHeight="1" hidden="1">
      <c r="A30" s="128"/>
      <c r="B30" s="75"/>
      <c r="C30" s="86"/>
      <c r="D30" s="86"/>
      <c r="E30" s="86"/>
      <c r="F30" s="86"/>
      <c r="G30" s="86"/>
      <c r="H30" s="86"/>
      <c r="I30" s="86"/>
      <c r="J30" s="86"/>
      <c r="K30" s="86"/>
    </row>
    <row r="31" spans="1:11" s="44" customFormat="1" ht="15" customHeight="1" hidden="1">
      <c r="A31" s="128" t="s">
        <v>243</v>
      </c>
      <c r="B31" s="76" t="s">
        <v>231</v>
      </c>
      <c r="C31" s="86"/>
      <c r="D31" s="86"/>
      <c r="E31" s="86"/>
      <c r="F31" s="86"/>
      <c r="G31" s="86"/>
      <c r="H31" s="86"/>
      <c r="I31" s="86"/>
      <c r="J31" s="86"/>
      <c r="K31" s="86"/>
    </row>
    <row r="32" spans="1:11" s="44" customFormat="1" ht="15" customHeight="1" hidden="1">
      <c r="A32" s="128"/>
      <c r="B32" s="75" t="s">
        <v>233</v>
      </c>
      <c r="C32" s="86"/>
      <c r="D32" s="86"/>
      <c r="E32" s="86"/>
      <c r="F32" s="86"/>
      <c r="G32" s="86"/>
      <c r="H32" s="86"/>
      <c r="I32" s="86"/>
      <c r="J32" s="86"/>
      <c r="K32" s="86"/>
    </row>
    <row r="33" spans="1:11" s="44" customFormat="1" ht="15" customHeight="1" hidden="1">
      <c r="A33" s="128"/>
      <c r="B33" s="75"/>
      <c r="C33" s="86"/>
      <c r="D33" s="86"/>
      <c r="E33" s="86"/>
      <c r="F33" s="86"/>
      <c r="G33" s="86"/>
      <c r="H33" s="86"/>
      <c r="I33" s="86"/>
      <c r="J33" s="86"/>
      <c r="K33" s="86"/>
    </row>
    <row r="34" spans="1:11" s="44" customFormat="1" ht="15" customHeight="1" hidden="1">
      <c r="A34" s="128"/>
      <c r="B34" s="75"/>
      <c r="C34" s="86"/>
      <c r="D34" s="86"/>
      <c r="E34" s="86"/>
      <c r="F34" s="86"/>
      <c r="G34" s="86"/>
      <c r="H34" s="86"/>
      <c r="I34" s="86"/>
      <c r="J34" s="86"/>
      <c r="K34" s="86"/>
    </row>
    <row r="35" spans="1:11" s="44" customFormat="1" ht="15" customHeight="1" hidden="1">
      <c r="A35" s="467" t="s">
        <v>244</v>
      </c>
      <c r="B35" s="75" t="s">
        <v>238</v>
      </c>
      <c r="C35" s="86"/>
      <c r="D35" s="86"/>
      <c r="E35" s="86"/>
      <c r="F35" s="86"/>
      <c r="G35" s="86"/>
      <c r="H35" s="86"/>
      <c r="I35" s="86"/>
      <c r="J35" s="86"/>
      <c r="K35" s="86"/>
    </row>
    <row r="36" spans="1:11" s="44" customFormat="1" ht="15" customHeight="1" hidden="1">
      <c r="A36" s="128"/>
      <c r="B36" s="75" t="s">
        <v>233</v>
      </c>
      <c r="C36" s="86"/>
      <c r="D36" s="86"/>
      <c r="E36" s="86"/>
      <c r="F36" s="86"/>
      <c r="G36" s="86"/>
      <c r="H36" s="86"/>
      <c r="I36" s="86"/>
      <c r="J36" s="86"/>
      <c r="K36" s="86"/>
    </row>
    <row r="37" spans="1:11" s="44" customFormat="1" ht="15" customHeight="1" hidden="1">
      <c r="A37" s="128"/>
      <c r="B37" s="75"/>
      <c r="C37" s="86"/>
      <c r="D37" s="86"/>
      <c r="E37" s="86"/>
      <c r="F37" s="86"/>
      <c r="G37" s="86"/>
      <c r="H37" s="86"/>
      <c r="I37" s="86"/>
      <c r="J37" s="86"/>
      <c r="K37" s="86"/>
    </row>
    <row r="38" spans="1:11" s="44" customFormat="1" ht="15" customHeight="1" hidden="1">
      <c r="A38" s="128" t="s">
        <v>245</v>
      </c>
      <c r="B38" s="75" t="s">
        <v>238</v>
      </c>
      <c r="C38" s="86"/>
      <c r="D38" s="86"/>
      <c r="E38" s="86"/>
      <c r="F38" s="86"/>
      <c r="G38" s="86"/>
      <c r="H38" s="86"/>
      <c r="I38" s="86"/>
      <c r="J38" s="86"/>
      <c r="K38" s="86"/>
    </row>
    <row r="39" spans="1:11" s="44" customFormat="1" ht="15" customHeight="1" hidden="1">
      <c r="A39" s="128"/>
      <c r="B39" s="75" t="s">
        <v>233</v>
      </c>
      <c r="C39" s="86"/>
      <c r="D39" s="86"/>
      <c r="E39" s="86"/>
      <c r="F39" s="86"/>
      <c r="G39" s="86"/>
      <c r="H39" s="86"/>
      <c r="I39" s="86"/>
      <c r="J39" s="86"/>
      <c r="K39" s="86"/>
    </row>
    <row r="40" spans="1:11" s="44" customFormat="1" ht="15" customHeight="1" hidden="1">
      <c r="A40" s="128"/>
      <c r="B40" s="75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44" customFormat="1" ht="15" customHeight="1" hidden="1">
      <c r="A41" s="128" t="s">
        <v>246</v>
      </c>
      <c r="B41" s="75" t="s">
        <v>238</v>
      </c>
      <c r="C41" s="86"/>
      <c r="D41" s="86"/>
      <c r="E41" s="86"/>
      <c r="F41" s="86"/>
      <c r="G41" s="86"/>
      <c r="H41" s="86"/>
      <c r="I41" s="86"/>
      <c r="J41" s="86"/>
      <c r="K41" s="86"/>
    </row>
    <row r="42" spans="1:11" s="44" customFormat="1" ht="15" customHeight="1" hidden="1">
      <c r="A42" s="128"/>
      <c r="B42" s="75" t="s">
        <v>233</v>
      </c>
      <c r="C42" s="86"/>
      <c r="D42" s="86"/>
      <c r="E42" s="86"/>
      <c r="F42" s="86"/>
      <c r="G42" s="86"/>
      <c r="H42" s="86"/>
      <c r="I42" s="86"/>
      <c r="J42" s="86"/>
      <c r="K42" s="86"/>
    </row>
    <row r="43" spans="1:11" s="44" customFormat="1" ht="15" customHeight="1" hidden="1">
      <c r="A43" s="128"/>
      <c r="B43" s="75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44" customFormat="1" ht="12" customHeight="1">
      <c r="A44" s="128"/>
      <c r="B44" s="75"/>
      <c r="C44" s="86"/>
      <c r="D44" s="86"/>
      <c r="E44" s="86"/>
      <c r="F44" s="86"/>
      <c r="G44" s="86"/>
      <c r="H44" s="86"/>
      <c r="I44" s="86"/>
      <c r="J44" s="86"/>
      <c r="K44" s="86"/>
    </row>
    <row r="45" spans="1:11" s="44" customFormat="1" ht="15" customHeight="1">
      <c r="A45" s="545" t="s">
        <v>247</v>
      </c>
      <c r="B45" s="75" t="s">
        <v>248</v>
      </c>
      <c r="C45" s="115" t="s">
        <v>232</v>
      </c>
      <c r="D45" s="99">
        <v>331450</v>
      </c>
      <c r="E45" s="99">
        <v>344957</v>
      </c>
      <c r="F45" s="99">
        <v>160025</v>
      </c>
      <c r="G45" s="99">
        <v>88951</v>
      </c>
      <c r="H45" s="99">
        <v>93994</v>
      </c>
      <c r="I45" s="99">
        <v>91457</v>
      </c>
      <c r="J45" s="99" t="s">
        <v>249</v>
      </c>
      <c r="K45" s="99">
        <v>82030</v>
      </c>
    </row>
    <row r="46" spans="1:11" s="44" customFormat="1" ht="15" customHeight="1">
      <c r="A46" s="467"/>
      <c r="B46" s="75" t="s">
        <v>233</v>
      </c>
      <c r="C46" s="115" t="s">
        <v>232</v>
      </c>
      <c r="D46" s="88" t="s">
        <v>234</v>
      </c>
      <c r="E46" s="84">
        <v>4.1</v>
      </c>
      <c r="F46" s="84">
        <v>0.3</v>
      </c>
      <c r="G46" s="84">
        <v>2</v>
      </c>
      <c r="H46" s="84">
        <v>13.3</v>
      </c>
      <c r="I46" s="84">
        <v>15.9</v>
      </c>
      <c r="J46" s="84">
        <v>10.5</v>
      </c>
      <c r="K46" s="84">
        <v>-7.8</v>
      </c>
    </row>
    <row r="47" spans="1:11" s="44" customFormat="1" ht="7.5" customHeight="1">
      <c r="A47" s="467"/>
      <c r="B47" s="75"/>
      <c r="C47" s="86"/>
      <c r="D47" s="86"/>
      <c r="E47" s="86"/>
      <c r="F47" s="86"/>
      <c r="G47" s="86"/>
      <c r="H47" s="86"/>
      <c r="I47" s="86"/>
      <c r="J47" s="86"/>
      <c r="K47" s="86"/>
    </row>
    <row r="48" spans="1:11" s="44" customFormat="1" ht="15" customHeight="1">
      <c r="A48" s="128" t="s">
        <v>235</v>
      </c>
      <c r="B48" s="75"/>
      <c r="C48" s="115" t="s">
        <v>232</v>
      </c>
      <c r="D48" s="99">
        <v>78836</v>
      </c>
      <c r="E48" s="99">
        <v>88602</v>
      </c>
      <c r="F48" s="99">
        <v>47182</v>
      </c>
      <c r="G48" s="99">
        <v>22430</v>
      </c>
      <c r="H48" s="99">
        <v>25567</v>
      </c>
      <c r="I48" s="99">
        <v>21964</v>
      </c>
      <c r="J48" s="99" t="s">
        <v>250</v>
      </c>
      <c r="K48" s="99">
        <v>26926</v>
      </c>
    </row>
    <row r="49" spans="1:11" s="44" customFormat="1" ht="15" customHeight="1">
      <c r="A49" s="128" t="s">
        <v>236</v>
      </c>
      <c r="B49" s="75"/>
      <c r="C49" s="115" t="s">
        <v>232</v>
      </c>
      <c r="D49" s="99">
        <v>252614</v>
      </c>
      <c r="E49" s="99">
        <v>256355</v>
      </c>
      <c r="F49" s="99">
        <v>112843</v>
      </c>
      <c r="G49" s="99">
        <v>66521</v>
      </c>
      <c r="H49" s="99">
        <v>68427</v>
      </c>
      <c r="I49" s="99">
        <v>69493</v>
      </c>
      <c r="J49" s="99">
        <v>57739</v>
      </c>
      <c r="K49" s="99">
        <v>55104</v>
      </c>
    </row>
    <row r="50" spans="1:11" s="44" customFormat="1" ht="12" customHeight="1">
      <c r="A50" s="128"/>
      <c r="B50" s="75"/>
      <c r="C50" s="86"/>
      <c r="D50" s="86"/>
      <c r="E50" s="86"/>
      <c r="F50" s="86"/>
      <c r="G50" s="86"/>
      <c r="H50" s="86"/>
      <c r="I50" s="86"/>
      <c r="J50" s="86"/>
      <c r="K50" s="86"/>
    </row>
    <row r="51" spans="1:11" s="257" customFormat="1" ht="15" customHeight="1">
      <c r="A51" s="545" t="s">
        <v>251</v>
      </c>
      <c r="B51" s="75" t="s">
        <v>248</v>
      </c>
      <c r="C51" s="115" t="s">
        <v>232</v>
      </c>
      <c r="D51" s="99">
        <v>95746</v>
      </c>
      <c r="E51" s="99">
        <v>94685</v>
      </c>
      <c r="F51" s="99">
        <v>35798</v>
      </c>
      <c r="G51" s="99">
        <v>26076</v>
      </c>
      <c r="H51" s="99">
        <v>26712</v>
      </c>
      <c r="I51" s="99">
        <v>26506</v>
      </c>
      <c r="J51" s="99">
        <v>20079</v>
      </c>
      <c r="K51" s="99">
        <v>15719</v>
      </c>
    </row>
    <row r="52" spans="1:11" s="257" customFormat="1" ht="15" customHeight="1">
      <c r="A52" s="467"/>
      <c r="B52" s="75" t="s">
        <v>233</v>
      </c>
      <c r="C52" s="115" t="s">
        <v>232</v>
      </c>
      <c r="D52" s="88" t="s">
        <v>234</v>
      </c>
      <c r="E52" s="84">
        <v>-1.1</v>
      </c>
      <c r="F52" s="84">
        <v>-13.7</v>
      </c>
      <c r="G52" s="84">
        <v>0.4</v>
      </c>
      <c r="H52" s="84">
        <v>10.7</v>
      </c>
      <c r="I52" s="84">
        <v>23.8</v>
      </c>
      <c r="J52" s="84">
        <v>30.5</v>
      </c>
      <c r="K52" s="84">
        <v>-39.7</v>
      </c>
    </row>
    <row r="53" spans="1:11" s="257" customFormat="1" ht="7.5" customHeight="1">
      <c r="A53" s="467"/>
      <c r="B53" s="75"/>
      <c r="C53" s="86"/>
      <c r="D53" s="86"/>
      <c r="E53" s="86"/>
      <c r="F53" s="86"/>
      <c r="G53" s="86"/>
      <c r="H53" s="86"/>
      <c r="I53" s="86"/>
      <c r="J53" s="86"/>
      <c r="K53" s="86"/>
    </row>
    <row r="54" spans="1:11" s="257" customFormat="1" ht="15" customHeight="1">
      <c r="A54" s="128" t="s">
        <v>235</v>
      </c>
      <c r="B54" s="75"/>
      <c r="C54" s="115" t="s">
        <v>232</v>
      </c>
      <c r="D54" s="99">
        <v>86703</v>
      </c>
      <c r="E54" s="99">
        <v>85260</v>
      </c>
      <c r="F54" s="99">
        <v>29318</v>
      </c>
      <c r="G54" s="99">
        <v>23860</v>
      </c>
      <c r="H54" s="99">
        <v>24383</v>
      </c>
      <c r="I54" s="99">
        <v>23575</v>
      </c>
      <c r="J54" s="99">
        <v>17432</v>
      </c>
      <c r="K54" s="99">
        <v>11886</v>
      </c>
    </row>
    <row r="55" spans="1:11" s="257" customFormat="1" ht="15" customHeight="1">
      <c r="A55" s="128" t="s">
        <v>236</v>
      </c>
      <c r="B55" s="75"/>
      <c r="C55" s="115" t="s">
        <v>232</v>
      </c>
      <c r="D55" s="99">
        <v>9043</v>
      </c>
      <c r="E55" s="99">
        <v>9425</v>
      </c>
      <c r="F55" s="99">
        <v>6480</v>
      </c>
      <c r="G55" s="99">
        <v>2216</v>
      </c>
      <c r="H55" s="99">
        <v>2329</v>
      </c>
      <c r="I55" s="99">
        <v>2931</v>
      </c>
      <c r="J55" s="99">
        <v>2647</v>
      </c>
      <c r="K55" s="99">
        <v>3833</v>
      </c>
    </row>
    <row r="56" spans="1:11" s="257" customFormat="1" ht="15" customHeight="1" hidden="1">
      <c r="A56" s="105" t="s">
        <v>237</v>
      </c>
      <c r="B56" s="75" t="s">
        <v>248</v>
      </c>
      <c r="C56" s="86"/>
      <c r="D56" s="86"/>
      <c r="E56" s="86"/>
      <c r="F56" s="86"/>
      <c r="G56" s="86"/>
      <c r="H56" s="86"/>
      <c r="I56" s="86"/>
      <c r="J56" s="86"/>
      <c r="K56" s="86"/>
    </row>
    <row r="57" spans="1:11" s="257" customFormat="1" ht="15" customHeight="1" hidden="1">
      <c r="A57" s="105"/>
      <c r="B57" s="75" t="s">
        <v>233</v>
      </c>
      <c r="C57" s="86"/>
      <c r="D57" s="86"/>
      <c r="E57" s="86"/>
      <c r="F57" s="86"/>
      <c r="G57" s="86"/>
      <c r="H57" s="86"/>
      <c r="I57" s="86"/>
      <c r="J57" s="86"/>
      <c r="K57" s="86"/>
    </row>
    <row r="58" spans="1:11" s="257" customFormat="1" ht="15" customHeight="1" hidden="1">
      <c r="A58" s="105"/>
      <c r="B58" s="75"/>
      <c r="C58" s="86"/>
      <c r="D58" s="86"/>
      <c r="E58" s="86"/>
      <c r="F58" s="86"/>
      <c r="G58" s="86"/>
      <c r="H58" s="86"/>
      <c r="I58" s="86"/>
      <c r="J58" s="86"/>
      <c r="K58" s="86"/>
    </row>
    <row r="59" spans="1:11" s="257" customFormat="1" ht="15" customHeight="1" hidden="1">
      <c r="A59" s="105" t="s">
        <v>239</v>
      </c>
      <c r="B59" s="75" t="s">
        <v>248</v>
      </c>
      <c r="C59" s="86"/>
      <c r="D59" s="86"/>
      <c r="E59" s="86"/>
      <c r="F59" s="86"/>
      <c r="G59" s="86"/>
      <c r="H59" s="86"/>
      <c r="I59" s="86"/>
      <c r="J59" s="86"/>
      <c r="K59" s="86"/>
    </row>
    <row r="60" spans="1:11" s="257" customFormat="1" ht="15" customHeight="1" hidden="1">
      <c r="A60" s="105"/>
      <c r="B60" s="75" t="s">
        <v>233</v>
      </c>
      <c r="C60" s="86"/>
      <c r="D60" s="86"/>
      <c r="E60" s="86"/>
      <c r="F60" s="86"/>
      <c r="G60" s="86"/>
      <c r="H60" s="86"/>
      <c r="I60" s="86"/>
      <c r="J60" s="86"/>
      <c r="K60" s="86"/>
    </row>
    <row r="61" spans="1:11" s="257" customFormat="1" ht="15" customHeight="1" hidden="1">
      <c r="A61" s="105"/>
      <c r="B61" s="75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257" customFormat="1" ht="15" customHeight="1" hidden="1">
      <c r="A62" s="105" t="s">
        <v>240</v>
      </c>
      <c r="B62" s="75" t="s">
        <v>248</v>
      </c>
      <c r="C62" s="86"/>
      <c r="D62" s="86"/>
      <c r="E62" s="86"/>
      <c r="F62" s="86"/>
      <c r="G62" s="86"/>
      <c r="H62" s="86"/>
      <c r="I62" s="86"/>
      <c r="J62" s="86"/>
      <c r="K62" s="86"/>
    </row>
    <row r="63" spans="1:11" s="257" customFormat="1" ht="15" customHeight="1" hidden="1">
      <c r="A63" s="105"/>
      <c r="B63" s="75" t="s">
        <v>233</v>
      </c>
      <c r="C63" s="86"/>
      <c r="D63" s="86"/>
      <c r="E63" s="86"/>
      <c r="F63" s="86"/>
      <c r="G63" s="86"/>
      <c r="H63" s="86"/>
      <c r="I63" s="86"/>
      <c r="J63" s="86"/>
      <c r="K63" s="86"/>
    </row>
    <row r="64" spans="1:11" s="257" customFormat="1" ht="15" customHeight="1" hidden="1">
      <c r="A64" s="105"/>
      <c r="B64" s="75"/>
      <c r="C64" s="86"/>
      <c r="D64" s="86"/>
      <c r="E64" s="86"/>
      <c r="F64" s="86"/>
      <c r="G64" s="86"/>
      <c r="H64" s="86"/>
      <c r="I64" s="86"/>
      <c r="J64" s="86"/>
      <c r="K64" s="86"/>
    </row>
    <row r="65" spans="1:11" s="257" customFormat="1" ht="15" customHeight="1" hidden="1">
      <c r="A65" s="105" t="s">
        <v>241</v>
      </c>
      <c r="B65" s="75" t="s">
        <v>248</v>
      </c>
      <c r="C65" s="86"/>
      <c r="D65" s="86"/>
      <c r="E65" s="86"/>
      <c r="F65" s="86"/>
      <c r="G65" s="86"/>
      <c r="H65" s="86"/>
      <c r="I65" s="86"/>
      <c r="J65" s="86"/>
      <c r="K65" s="86"/>
    </row>
    <row r="66" spans="1:11" s="257" customFormat="1" ht="15" customHeight="1" hidden="1">
      <c r="A66" s="105"/>
      <c r="B66" s="75" t="s">
        <v>233</v>
      </c>
      <c r="C66" s="86"/>
      <c r="D66" s="86"/>
      <c r="E66" s="86"/>
      <c r="F66" s="86"/>
      <c r="G66" s="86"/>
      <c r="H66" s="86"/>
      <c r="I66" s="86"/>
      <c r="J66" s="86"/>
      <c r="K66" s="86"/>
    </row>
    <row r="67" spans="1:11" s="257" customFormat="1" ht="15" customHeight="1" hidden="1">
      <c r="A67" s="105"/>
      <c r="B67" s="75"/>
      <c r="C67" s="86"/>
      <c r="D67" s="86"/>
      <c r="E67" s="86"/>
      <c r="F67" s="86"/>
      <c r="G67" s="86"/>
      <c r="H67" s="86"/>
      <c r="I67" s="86"/>
      <c r="J67" s="86"/>
      <c r="K67" s="86"/>
    </row>
    <row r="68" spans="1:11" s="44" customFormat="1" ht="15" customHeight="1" hidden="1">
      <c r="A68" s="105" t="s">
        <v>252</v>
      </c>
      <c r="B68" s="76"/>
      <c r="C68" s="539"/>
      <c r="D68" s="539"/>
      <c r="E68" s="539"/>
      <c r="F68" s="539"/>
      <c r="G68" s="539"/>
      <c r="H68" s="539"/>
      <c r="I68" s="539"/>
      <c r="J68" s="539"/>
      <c r="K68" s="539"/>
    </row>
    <row r="69" spans="1:11" s="44" customFormat="1" ht="15" customHeight="1" hidden="1">
      <c r="A69" s="128" t="s">
        <v>242</v>
      </c>
      <c r="B69" s="75" t="s">
        <v>248</v>
      </c>
      <c r="C69" s="86"/>
      <c r="D69" s="86"/>
      <c r="E69" s="86"/>
      <c r="F69" s="86"/>
      <c r="G69" s="86"/>
      <c r="H69" s="86"/>
      <c r="I69" s="86"/>
      <c r="J69" s="86"/>
      <c r="K69" s="86"/>
    </row>
    <row r="70" spans="1:11" s="44" customFormat="1" ht="15" customHeight="1" hidden="1">
      <c r="A70" s="128"/>
      <c r="B70" s="75" t="s">
        <v>233</v>
      </c>
      <c r="C70" s="86"/>
      <c r="D70" s="86"/>
      <c r="E70" s="86"/>
      <c r="F70" s="86"/>
      <c r="G70" s="86"/>
      <c r="H70" s="86"/>
      <c r="I70" s="86"/>
      <c r="J70" s="86"/>
      <c r="K70" s="86"/>
    </row>
    <row r="71" spans="1:11" s="44" customFormat="1" ht="15" customHeight="1" hidden="1">
      <c r="A71" s="128"/>
      <c r="B71" s="75"/>
      <c r="C71" s="86"/>
      <c r="D71" s="86"/>
      <c r="E71" s="86"/>
      <c r="F71" s="86"/>
      <c r="G71" s="86"/>
      <c r="H71" s="86"/>
      <c r="I71" s="86"/>
      <c r="J71" s="86"/>
      <c r="K71" s="86"/>
    </row>
    <row r="72" spans="1:11" s="44" customFormat="1" ht="15" customHeight="1" hidden="1">
      <c r="A72" s="128" t="s">
        <v>243</v>
      </c>
      <c r="B72" s="75" t="s">
        <v>248</v>
      </c>
      <c r="C72" s="86"/>
      <c r="D72" s="86"/>
      <c r="E72" s="86"/>
      <c r="F72" s="86"/>
      <c r="G72" s="86"/>
      <c r="H72" s="86"/>
      <c r="I72" s="86"/>
      <c r="J72" s="86"/>
      <c r="K72" s="86"/>
    </row>
    <row r="73" spans="1:11" s="44" customFormat="1" ht="15" customHeight="1" hidden="1">
      <c r="A73" s="128"/>
      <c r="B73" s="75" t="s">
        <v>233</v>
      </c>
      <c r="C73" s="86"/>
      <c r="D73" s="86"/>
      <c r="E73" s="86"/>
      <c r="F73" s="86"/>
      <c r="G73" s="86"/>
      <c r="H73" s="86"/>
      <c r="I73" s="86"/>
      <c r="J73" s="86"/>
      <c r="K73" s="86"/>
    </row>
    <row r="74" spans="1:11" s="44" customFormat="1" ht="15" customHeight="1" hidden="1">
      <c r="A74" s="128"/>
      <c r="B74" s="75"/>
      <c r="C74" s="86"/>
      <c r="D74" s="86"/>
      <c r="E74" s="86"/>
      <c r="F74" s="86"/>
      <c r="G74" s="86"/>
      <c r="H74" s="86"/>
      <c r="I74" s="86"/>
      <c r="J74" s="86"/>
      <c r="K74" s="86"/>
    </row>
    <row r="75" spans="1:11" s="44" customFormat="1" ht="15" customHeight="1" hidden="1">
      <c r="A75" s="128" t="s">
        <v>245</v>
      </c>
      <c r="B75" s="75" t="s">
        <v>248</v>
      </c>
      <c r="C75" s="86"/>
      <c r="D75" s="86"/>
      <c r="E75" s="86"/>
      <c r="F75" s="86"/>
      <c r="G75" s="86"/>
      <c r="H75" s="86"/>
      <c r="I75" s="86"/>
      <c r="J75" s="86"/>
      <c r="K75" s="86"/>
    </row>
    <row r="76" spans="1:11" s="44" customFormat="1" ht="15" customHeight="1" hidden="1">
      <c r="A76" s="128"/>
      <c r="B76" s="75" t="s">
        <v>233</v>
      </c>
      <c r="C76" s="86"/>
      <c r="D76" s="86"/>
      <c r="E76" s="86"/>
      <c r="F76" s="86"/>
      <c r="G76" s="86"/>
      <c r="H76" s="86"/>
      <c r="I76" s="86"/>
      <c r="J76" s="86"/>
      <c r="K76" s="86"/>
    </row>
    <row r="77" spans="1:11" s="44" customFormat="1" ht="15" customHeight="1" hidden="1">
      <c r="A77" s="128"/>
      <c r="B77" s="75"/>
      <c r="C77" s="86"/>
      <c r="D77" s="86"/>
      <c r="E77" s="86"/>
      <c r="F77" s="86"/>
      <c r="G77" s="86"/>
      <c r="H77" s="86"/>
      <c r="I77" s="86"/>
      <c r="J77" s="86"/>
      <c r="K77" s="86"/>
    </row>
    <row r="78" spans="1:11" s="44" customFormat="1" ht="15" customHeight="1" hidden="1">
      <c r="A78" s="128" t="s">
        <v>246</v>
      </c>
      <c r="B78" s="75" t="s">
        <v>248</v>
      </c>
      <c r="C78" s="86"/>
      <c r="D78" s="86"/>
      <c r="E78" s="86"/>
      <c r="F78" s="86"/>
      <c r="G78" s="86"/>
      <c r="H78" s="86"/>
      <c r="I78" s="86"/>
      <c r="J78" s="86"/>
      <c r="K78" s="86"/>
    </row>
    <row r="79" spans="1:11" s="44" customFormat="1" ht="15" customHeight="1" hidden="1">
      <c r="A79" s="128"/>
      <c r="B79" s="75" t="s">
        <v>233</v>
      </c>
      <c r="C79" s="86"/>
      <c r="D79" s="86"/>
      <c r="E79" s="86"/>
      <c r="F79" s="86"/>
      <c r="G79" s="86"/>
      <c r="H79" s="86"/>
      <c r="I79" s="86"/>
      <c r="J79" s="86"/>
      <c r="K79" s="86"/>
    </row>
    <row r="80" spans="1:11" s="44" customFormat="1" ht="12" customHeight="1">
      <c r="A80" s="128"/>
      <c r="B80" s="75"/>
      <c r="C80" s="546"/>
      <c r="D80" s="546"/>
      <c r="E80" s="546"/>
      <c r="F80" s="546"/>
      <c r="G80" s="546"/>
      <c r="H80" s="546"/>
      <c r="I80" s="546"/>
      <c r="J80" s="546"/>
      <c r="K80" s="546"/>
    </row>
    <row r="81" spans="1:11" s="44" customFormat="1" ht="15" customHeight="1">
      <c r="A81" s="545" t="s">
        <v>253</v>
      </c>
      <c r="B81" s="75" t="s">
        <v>248</v>
      </c>
      <c r="C81" s="546">
        <v>65166.8</v>
      </c>
      <c r="D81" s="546">
        <v>53115.8</v>
      </c>
      <c r="E81" s="546">
        <v>68027.5</v>
      </c>
      <c r="F81" s="546">
        <f>SUM(J81:K81)-0.1</f>
        <v>32463.1</v>
      </c>
      <c r="G81" s="546">
        <v>17726.7</v>
      </c>
      <c r="H81" s="546">
        <v>17767.3</v>
      </c>
      <c r="I81" s="546">
        <v>19651.9</v>
      </c>
      <c r="J81" s="546">
        <v>15790.1</v>
      </c>
      <c r="K81" s="546">
        <v>16673.1</v>
      </c>
    </row>
    <row r="82" spans="1:11" s="44" customFormat="1" ht="15" customHeight="1">
      <c r="A82" s="467"/>
      <c r="B82" s="75" t="s">
        <v>233</v>
      </c>
      <c r="C82" s="84">
        <v>43.1</v>
      </c>
      <c r="D82" s="84">
        <v>-18.5</v>
      </c>
      <c r="E82" s="84">
        <v>28.1</v>
      </c>
      <c r="F82" s="84">
        <v>6.1</v>
      </c>
      <c r="G82" s="84">
        <v>62.8</v>
      </c>
      <c r="H82" s="84">
        <v>59.6</v>
      </c>
      <c r="I82" s="84">
        <v>15.8</v>
      </c>
      <c r="J82" s="84">
        <v>22.6</v>
      </c>
      <c r="K82" s="84">
        <v>-5.9</v>
      </c>
    </row>
    <row r="83" spans="1:11" s="44" customFormat="1" ht="7.5" customHeight="1">
      <c r="A83" s="467"/>
      <c r="B83" s="75"/>
      <c r="C83" s="86"/>
      <c r="D83" s="547"/>
      <c r="E83" s="547"/>
      <c r="F83" s="86"/>
      <c r="G83" s="86"/>
      <c r="H83" s="86"/>
      <c r="I83" s="86"/>
      <c r="J83" s="86"/>
      <c r="K83" s="86"/>
    </row>
    <row r="84" spans="1:11" s="257" customFormat="1" ht="15" customHeight="1">
      <c r="A84" s="128" t="s">
        <v>235</v>
      </c>
      <c r="B84" s="75"/>
      <c r="C84" s="546">
        <v>28811.6</v>
      </c>
      <c r="D84" s="546">
        <v>26686.6</v>
      </c>
      <c r="E84" s="546">
        <v>35483.8</v>
      </c>
      <c r="F84" s="546">
        <v>15446.3</v>
      </c>
      <c r="G84" s="546">
        <v>9225.5</v>
      </c>
      <c r="H84" s="546">
        <v>9256.9</v>
      </c>
      <c r="I84" s="546">
        <v>10531.4</v>
      </c>
      <c r="J84" s="546">
        <v>7166.3</v>
      </c>
      <c r="K84" s="546">
        <v>8279.9</v>
      </c>
    </row>
    <row r="85" spans="1:11" s="257" customFormat="1" ht="15" customHeight="1">
      <c r="A85" s="128" t="s">
        <v>236</v>
      </c>
      <c r="B85" s="75"/>
      <c r="C85" s="546">
        <v>18840.2</v>
      </c>
      <c r="D85" s="546">
        <v>13673.6</v>
      </c>
      <c r="E85" s="546">
        <v>16148.9</v>
      </c>
      <c r="F85" s="546">
        <v>8607.3</v>
      </c>
      <c r="G85" s="546">
        <v>4343.6</v>
      </c>
      <c r="H85" s="546">
        <v>4083.3</v>
      </c>
      <c r="I85" s="546">
        <v>4465.3</v>
      </c>
      <c r="J85" s="546">
        <v>4035.2</v>
      </c>
      <c r="K85" s="546">
        <v>4572.1</v>
      </c>
    </row>
    <row r="86" spans="1:11" s="257" customFormat="1" ht="15" customHeight="1">
      <c r="A86" s="128" t="s">
        <v>254</v>
      </c>
      <c r="B86" s="75"/>
      <c r="C86" s="546">
        <v>17515</v>
      </c>
      <c r="D86" s="546">
        <v>12755.6</v>
      </c>
      <c r="E86" s="546">
        <v>16394.8</v>
      </c>
      <c r="F86" s="546">
        <v>8409.5</v>
      </c>
      <c r="G86" s="546">
        <v>4157.6</v>
      </c>
      <c r="H86" s="546">
        <v>4427.1</v>
      </c>
      <c r="I86" s="546">
        <v>4655.2</v>
      </c>
      <c r="J86" s="546">
        <v>4588.5</v>
      </c>
      <c r="K86" s="546">
        <v>3821</v>
      </c>
    </row>
    <row r="87" spans="1:11" s="257" customFormat="1" ht="12" customHeight="1">
      <c r="A87" s="128"/>
      <c r="B87" s="75"/>
      <c r="C87" s="546"/>
      <c r="D87" s="546"/>
      <c r="E87" s="546"/>
      <c r="F87" s="546"/>
      <c r="G87" s="546"/>
      <c r="H87" s="546"/>
      <c r="I87" s="546"/>
      <c r="J87" s="546"/>
      <c r="K87" s="546"/>
    </row>
    <row r="88" spans="1:11" s="257" customFormat="1" ht="15" customHeight="1">
      <c r="A88" s="545" t="s">
        <v>255</v>
      </c>
      <c r="B88" s="75" t="s">
        <v>256</v>
      </c>
      <c r="C88" s="99">
        <v>10209</v>
      </c>
      <c r="D88" s="99">
        <v>10460</v>
      </c>
      <c r="E88" s="99">
        <v>12158</v>
      </c>
      <c r="F88" s="99">
        <v>6748</v>
      </c>
      <c r="G88" s="99">
        <v>2950</v>
      </c>
      <c r="H88" s="99">
        <v>3272</v>
      </c>
      <c r="I88" s="99">
        <v>3107</v>
      </c>
      <c r="J88" s="99">
        <v>3270</v>
      </c>
      <c r="K88" s="99">
        <v>3478</v>
      </c>
    </row>
    <row r="89" spans="1:11" s="257" customFormat="1" ht="15" customHeight="1">
      <c r="A89" s="128"/>
      <c r="B89" s="75" t="s">
        <v>233</v>
      </c>
      <c r="C89" s="84">
        <v>9.7</v>
      </c>
      <c r="D89" s="84">
        <v>2.5</v>
      </c>
      <c r="E89" s="84">
        <v>16.2</v>
      </c>
      <c r="F89" s="84">
        <v>16.8</v>
      </c>
      <c r="G89" s="84">
        <v>13.7</v>
      </c>
      <c r="H89" s="84">
        <v>25.7</v>
      </c>
      <c r="I89" s="84">
        <v>11.6</v>
      </c>
      <c r="J89" s="84">
        <v>15.6</v>
      </c>
      <c r="K89" s="84">
        <v>17.9</v>
      </c>
    </row>
    <row r="90" spans="1:11" s="257" customFormat="1" ht="12" customHeight="1">
      <c r="A90" s="128"/>
      <c r="B90" s="75"/>
      <c r="C90" s="86"/>
      <c r="D90" s="86"/>
      <c r="E90" s="86"/>
      <c r="F90" s="86"/>
      <c r="G90" s="86"/>
      <c r="H90" s="86"/>
      <c r="I90" s="86"/>
      <c r="J90" s="86"/>
      <c r="K90" s="86"/>
    </row>
    <row r="91" spans="1:11" s="257" customFormat="1" ht="15" customHeight="1">
      <c r="A91" s="545" t="s">
        <v>257</v>
      </c>
      <c r="B91" s="75" t="s">
        <v>258</v>
      </c>
      <c r="C91" s="99">
        <v>11867</v>
      </c>
      <c r="D91" s="99">
        <v>8333</v>
      </c>
      <c r="E91" s="99">
        <v>7275</v>
      </c>
      <c r="F91" s="99">
        <v>4400</v>
      </c>
      <c r="G91" s="99">
        <v>1529</v>
      </c>
      <c r="H91" s="99">
        <v>1908</v>
      </c>
      <c r="I91" s="99">
        <v>1980</v>
      </c>
      <c r="J91" s="99">
        <v>2423</v>
      </c>
      <c r="K91" s="99">
        <v>1977</v>
      </c>
    </row>
    <row r="92" spans="1:11" s="257" customFormat="1" ht="15" customHeight="1">
      <c r="A92" s="128"/>
      <c r="B92" s="75" t="s">
        <v>233</v>
      </c>
      <c r="C92" s="84">
        <v>-15.7</v>
      </c>
      <c r="D92" s="84">
        <v>-29.8</v>
      </c>
      <c r="E92" s="84">
        <v>-12.7</v>
      </c>
      <c r="F92" s="84">
        <v>29.9</v>
      </c>
      <c r="G92" s="84">
        <v>-12</v>
      </c>
      <c r="H92" s="84">
        <v>-4.6</v>
      </c>
      <c r="I92" s="84">
        <v>4.6</v>
      </c>
      <c r="J92" s="84">
        <v>30.4</v>
      </c>
      <c r="K92" s="84">
        <v>29.3</v>
      </c>
    </row>
    <row r="93" spans="1:11" s="257" customFormat="1" ht="7.5" customHeight="1">
      <c r="A93" s="128"/>
      <c r="B93" s="75"/>
      <c r="C93" s="86"/>
      <c r="D93" s="86"/>
      <c r="E93" s="86"/>
      <c r="F93" s="86"/>
      <c r="G93" s="86"/>
      <c r="H93" s="86"/>
      <c r="I93" s="86"/>
      <c r="J93" s="86"/>
      <c r="K93" s="86"/>
    </row>
    <row r="94" spans="1:11" s="257" customFormat="1" ht="15" customHeight="1">
      <c r="A94" s="128" t="s">
        <v>259</v>
      </c>
      <c r="B94" s="75" t="s">
        <v>258</v>
      </c>
      <c r="C94" s="99">
        <v>4247</v>
      </c>
      <c r="D94" s="99">
        <v>3280</v>
      </c>
      <c r="E94" s="99">
        <v>3667</v>
      </c>
      <c r="F94" s="99">
        <v>2204</v>
      </c>
      <c r="G94" s="99">
        <v>805</v>
      </c>
      <c r="H94" s="99">
        <v>979</v>
      </c>
      <c r="I94" s="99">
        <v>988</v>
      </c>
      <c r="J94" s="99">
        <v>1226</v>
      </c>
      <c r="K94" s="99">
        <v>978</v>
      </c>
    </row>
    <row r="95" spans="1:11" s="257" customFormat="1" ht="15" customHeight="1">
      <c r="A95" s="128"/>
      <c r="B95" s="75" t="s">
        <v>233</v>
      </c>
      <c r="C95" s="84">
        <v>-10.5</v>
      </c>
      <c r="D95" s="84">
        <v>-22.8</v>
      </c>
      <c r="E95" s="84">
        <v>11.8</v>
      </c>
      <c r="F95" s="84">
        <v>29.6</v>
      </c>
      <c r="G95" s="84">
        <v>28.4</v>
      </c>
      <c r="H95" s="84">
        <v>37.3</v>
      </c>
      <c r="I95" s="84">
        <v>13.8</v>
      </c>
      <c r="J95" s="84">
        <v>37</v>
      </c>
      <c r="K95" s="84">
        <v>21.5</v>
      </c>
    </row>
    <row r="96" spans="1:11" s="257" customFormat="1" ht="7.5" customHeight="1">
      <c r="A96" s="128"/>
      <c r="B96" s="75"/>
      <c r="C96" s="86"/>
      <c r="D96" s="86"/>
      <c r="E96" s="86"/>
      <c r="F96" s="86"/>
      <c r="G96" s="86"/>
      <c r="H96" s="86"/>
      <c r="I96" s="86"/>
      <c r="J96" s="86"/>
      <c r="K96" s="86"/>
    </row>
    <row r="97" spans="1:11" s="257" customFormat="1" ht="15" customHeight="1">
      <c r="A97" s="128" t="s">
        <v>260</v>
      </c>
      <c r="B97" s="75" t="s">
        <v>258</v>
      </c>
      <c r="C97" s="99">
        <v>7573</v>
      </c>
      <c r="D97" s="99">
        <v>5034</v>
      </c>
      <c r="E97" s="99">
        <v>3608</v>
      </c>
      <c r="F97" s="99">
        <v>2194</v>
      </c>
      <c r="G97" s="99">
        <v>724</v>
      </c>
      <c r="H97" s="99">
        <v>929</v>
      </c>
      <c r="I97" s="99">
        <v>992</v>
      </c>
      <c r="J97" s="99">
        <v>1196</v>
      </c>
      <c r="K97" s="99">
        <v>998</v>
      </c>
    </row>
    <row r="98" spans="1:11" s="257" customFormat="1" ht="15" customHeight="1">
      <c r="A98" s="128"/>
      <c r="B98" s="75" t="s">
        <v>233</v>
      </c>
      <c r="C98" s="84">
        <v>-18.1</v>
      </c>
      <c r="D98" s="84">
        <v>-33.5</v>
      </c>
      <c r="E98" s="84">
        <v>-28.3</v>
      </c>
      <c r="F98" s="84">
        <v>30.1</v>
      </c>
      <c r="G98" s="84">
        <v>-34.2</v>
      </c>
      <c r="H98" s="84">
        <v>-27.8</v>
      </c>
      <c r="I98" s="84">
        <v>-2.9</v>
      </c>
      <c r="J98" s="84">
        <v>24.2</v>
      </c>
      <c r="K98" s="84">
        <v>37.8</v>
      </c>
    </row>
    <row r="99" spans="1:11" ht="12" customHeight="1">
      <c r="A99" s="127"/>
      <c r="B99" s="486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1:11" ht="13.5" customHeight="1">
      <c r="A100" s="548" t="s">
        <v>261</v>
      </c>
      <c r="B100" s="74"/>
      <c r="C100" s="549"/>
      <c r="D100" s="550"/>
      <c r="E100" s="74"/>
      <c r="G100" s="551"/>
      <c r="H100" s="74"/>
      <c r="I100" s="74"/>
      <c r="J100" s="74"/>
      <c r="K100" s="74"/>
    </row>
    <row r="101" ht="12" customHeight="1">
      <c r="A101" s="264"/>
    </row>
    <row r="102" ht="12" customHeight="1"/>
    <row r="103" spans="1:11" s="44" customFormat="1" ht="15" customHeight="1">
      <c r="A103" s="544" t="s">
        <v>262</v>
      </c>
      <c r="B103" s="543"/>
      <c r="C103" s="105"/>
      <c r="G103" s="105"/>
      <c r="K103" s="105"/>
    </row>
    <row r="104" spans="1:11" s="44" customFormat="1" ht="9.75" customHeight="1">
      <c r="A104" s="128"/>
      <c r="B104" s="128"/>
      <c r="C104" s="477"/>
      <c r="G104" s="105"/>
      <c r="J104" s="477"/>
      <c r="K104" s="477"/>
    </row>
    <row r="105" spans="1:11" s="44" customFormat="1" ht="15" customHeight="1">
      <c r="A105" s="60"/>
      <c r="B105" s="60"/>
      <c r="C105" s="566">
        <v>1998</v>
      </c>
      <c r="D105" s="568">
        <v>1999</v>
      </c>
      <c r="E105" s="568">
        <v>2000</v>
      </c>
      <c r="F105" s="408">
        <v>2001</v>
      </c>
      <c r="G105" s="38">
        <v>2000</v>
      </c>
      <c r="H105" s="38">
        <v>2000</v>
      </c>
      <c r="I105" s="38">
        <v>2000</v>
      </c>
      <c r="J105" s="500">
        <v>2001</v>
      </c>
      <c r="K105" s="500">
        <v>2001</v>
      </c>
    </row>
    <row r="106" spans="1:11" s="44" customFormat="1" ht="15" customHeight="1">
      <c r="A106" s="63"/>
      <c r="B106" s="63"/>
      <c r="C106" s="572"/>
      <c r="D106" s="573"/>
      <c r="E106" s="573"/>
      <c r="F106" s="65" t="s">
        <v>225</v>
      </c>
      <c r="G106" s="66" t="s">
        <v>226</v>
      </c>
      <c r="H106" s="66" t="s">
        <v>227</v>
      </c>
      <c r="I106" s="66" t="s">
        <v>228</v>
      </c>
      <c r="J106" s="66" t="s">
        <v>229</v>
      </c>
      <c r="K106" s="246" t="s">
        <v>226</v>
      </c>
    </row>
    <row r="107" spans="1:11" s="44" customFormat="1" ht="15" customHeight="1">
      <c r="A107" s="377"/>
      <c r="B107" s="377"/>
      <c r="C107" s="567"/>
      <c r="D107" s="569"/>
      <c r="E107" s="569"/>
      <c r="F107" s="465" t="s">
        <v>226</v>
      </c>
      <c r="G107" s="69"/>
      <c r="H107" s="69"/>
      <c r="I107" s="69"/>
      <c r="J107" s="69"/>
      <c r="K107" s="69"/>
    </row>
    <row r="108" spans="1:11" s="44" customFormat="1" ht="9.75" customHeight="1">
      <c r="A108" s="63"/>
      <c r="B108" s="63"/>
      <c r="C108" s="64"/>
      <c r="D108" s="50"/>
      <c r="E108" s="50"/>
      <c r="F108" s="466"/>
      <c r="G108" s="66"/>
      <c r="H108" s="66"/>
      <c r="I108" s="66"/>
      <c r="J108" s="66"/>
      <c r="K108" s="66"/>
    </row>
    <row r="109" spans="1:11" ht="15" customHeight="1">
      <c r="A109" s="467" t="s">
        <v>263</v>
      </c>
      <c r="B109" s="128" t="s">
        <v>264</v>
      </c>
      <c r="C109" s="552">
        <v>173.9</v>
      </c>
      <c r="D109" s="84">
        <v>178.4</v>
      </c>
      <c r="E109" s="84">
        <v>176.8</v>
      </c>
      <c r="F109" s="84" t="s">
        <v>265</v>
      </c>
      <c r="G109" s="84">
        <v>178</v>
      </c>
      <c r="H109" s="84">
        <v>177</v>
      </c>
      <c r="I109" s="84">
        <v>176.8</v>
      </c>
      <c r="J109" s="84">
        <v>177.1</v>
      </c>
      <c r="K109" s="84">
        <v>176.8</v>
      </c>
    </row>
    <row r="110" spans="1:11" ht="15" customHeight="1">
      <c r="A110" s="467"/>
      <c r="B110" s="128" t="s">
        <v>233</v>
      </c>
      <c r="C110" s="552">
        <v>2.5</v>
      </c>
      <c r="D110" s="84">
        <v>2.6</v>
      </c>
      <c r="E110" s="84">
        <v>-0.9</v>
      </c>
      <c r="F110" s="84" t="s">
        <v>265</v>
      </c>
      <c r="G110" s="84">
        <v>1.4</v>
      </c>
      <c r="H110" s="84">
        <v>-0.2</v>
      </c>
      <c r="I110" s="84">
        <v>-0.9</v>
      </c>
      <c r="J110" s="84">
        <v>-0.7</v>
      </c>
      <c r="K110" s="84">
        <v>-0.7</v>
      </c>
    </row>
    <row r="111" spans="1:11" ht="12" customHeight="1">
      <c r="A111" s="467"/>
      <c r="B111" s="128"/>
      <c r="C111" s="552"/>
      <c r="D111" s="84"/>
      <c r="E111" s="84"/>
      <c r="F111" s="84"/>
      <c r="G111" s="84"/>
      <c r="H111" s="84"/>
      <c r="I111" s="84"/>
      <c r="J111" s="84"/>
      <c r="K111" s="84"/>
    </row>
    <row r="112" spans="1:11" ht="15" customHeight="1">
      <c r="A112" s="467" t="s">
        <v>266</v>
      </c>
      <c r="B112" s="128" t="s">
        <v>264</v>
      </c>
      <c r="C112" s="552">
        <v>77.2</v>
      </c>
      <c r="D112" s="84">
        <v>121.6</v>
      </c>
      <c r="E112" s="84">
        <v>144</v>
      </c>
      <c r="F112" s="84" t="s">
        <v>265</v>
      </c>
      <c r="G112" s="84">
        <v>132.1</v>
      </c>
      <c r="H112" s="84">
        <v>140.2</v>
      </c>
      <c r="I112" s="84">
        <v>144</v>
      </c>
      <c r="J112" s="84">
        <v>149.7</v>
      </c>
      <c r="K112" s="84">
        <v>157.9</v>
      </c>
    </row>
    <row r="113" spans="1:11" ht="15" customHeight="1">
      <c r="A113" s="467"/>
      <c r="B113" s="128" t="s">
        <v>233</v>
      </c>
      <c r="C113" s="552">
        <v>46</v>
      </c>
      <c r="D113" s="84">
        <v>57.5</v>
      </c>
      <c r="E113" s="84">
        <v>18.4</v>
      </c>
      <c r="F113" s="84" t="s">
        <v>265</v>
      </c>
      <c r="G113" s="84">
        <v>36.1</v>
      </c>
      <c r="H113" s="84">
        <v>24.6</v>
      </c>
      <c r="I113" s="84">
        <v>18.4</v>
      </c>
      <c r="J113" s="84">
        <v>20.7</v>
      </c>
      <c r="K113" s="84">
        <v>19.5</v>
      </c>
    </row>
    <row r="114" spans="1:11" ht="12" customHeight="1">
      <c r="A114" s="467"/>
      <c r="B114" s="128"/>
      <c r="C114" s="552"/>
      <c r="D114" s="84"/>
      <c r="E114" s="84"/>
      <c r="F114" s="84"/>
      <c r="G114" s="84"/>
      <c r="H114" s="84"/>
      <c r="I114" s="84"/>
      <c r="J114" s="84"/>
      <c r="K114" s="84"/>
    </row>
    <row r="115" spans="1:11" ht="15" customHeight="1">
      <c r="A115" s="467" t="s">
        <v>267</v>
      </c>
      <c r="B115" s="128"/>
      <c r="C115" s="552"/>
      <c r="D115" s="84"/>
      <c r="E115" s="84"/>
      <c r="F115" s="84"/>
      <c r="G115" s="84"/>
      <c r="H115" s="84"/>
      <c r="I115" s="84"/>
      <c r="J115" s="84"/>
      <c r="K115" s="84"/>
    </row>
    <row r="116" spans="1:11" ht="15" customHeight="1">
      <c r="A116" s="105" t="s">
        <v>268</v>
      </c>
      <c r="B116" s="75" t="s">
        <v>264</v>
      </c>
      <c r="C116" s="84">
        <v>9.5</v>
      </c>
      <c r="D116" s="84">
        <v>17</v>
      </c>
      <c r="E116" s="84">
        <v>27.3</v>
      </c>
      <c r="F116" s="84" t="s">
        <v>265</v>
      </c>
      <c r="G116" s="84">
        <v>21.8</v>
      </c>
      <c r="H116" s="84">
        <v>24.4</v>
      </c>
      <c r="I116" s="84">
        <v>27.3</v>
      </c>
      <c r="J116" s="84">
        <v>29</v>
      </c>
      <c r="K116" s="84">
        <v>30.2</v>
      </c>
    </row>
    <row r="117" spans="1:11" ht="15" customHeight="1">
      <c r="A117" s="105"/>
      <c r="B117" s="75" t="s">
        <v>233</v>
      </c>
      <c r="C117" s="84">
        <v>62.8</v>
      </c>
      <c r="D117" s="84">
        <v>79</v>
      </c>
      <c r="E117" s="84">
        <v>60.5</v>
      </c>
      <c r="F117" s="84" t="s">
        <v>265</v>
      </c>
      <c r="G117" s="84">
        <v>51</v>
      </c>
      <c r="H117" s="84">
        <v>58.3</v>
      </c>
      <c r="I117" s="84">
        <v>60.5</v>
      </c>
      <c r="J117" s="84">
        <v>50.1</v>
      </c>
      <c r="K117" s="84">
        <v>38.8</v>
      </c>
    </row>
    <row r="118" spans="1:11" ht="7.5" customHeight="1">
      <c r="A118" s="105"/>
      <c r="B118" s="75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15" customHeight="1">
      <c r="A119" s="105" t="s">
        <v>269</v>
      </c>
      <c r="B119" s="75" t="s">
        <v>270</v>
      </c>
      <c r="C119" s="546">
        <v>2360</v>
      </c>
      <c r="D119" s="546">
        <v>3377.9</v>
      </c>
      <c r="E119" s="546">
        <v>10817.2</v>
      </c>
      <c r="F119" s="546">
        <v>8005.4</v>
      </c>
      <c r="G119" s="546">
        <v>2507</v>
      </c>
      <c r="H119" s="546">
        <v>2923.5</v>
      </c>
      <c r="I119" s="546">
        <v>3338.8</v>
      </c>
      <c r="J119" s="546">
        <v>3713.1</v>
      </c>
      <c r="K119" s="546">
        <v>4292.3</v>
      </c>
    </row>
    <row r="120" spans="1:11" ht="15" customHeight="1">
      <c r="A120" s="105"/>
      <c r="B120" s="75" t="s">
        <v>233</v>
      </c>
      <c r="C120" s="84">
        <v>113.5</v>
      </c>
      <c r="D120" s="84">
        <v>43.1</v>
      </c>
      <c r="E120" s="84">
        <v>220.2</v>
      </c>
      <c r="F120" s="84">
        <v>75.8</v>
      </c>
      <c r="G120" s="84">
        <v>155.6</v>
      </c>
      <c r="H120" s="84">
        <v>252</v>
      </c>
      <c r="I120" s="84">
        <v>423</v>
      </c>
      <c r="J120" s="84">
        <v>81.3</v>
      </c>
      <c r="K120" s="84">
        <v>71.2</v>
      </c>
    </row>
    <row r="121" spans="1:11" ht="12" customHeight="1">
      <c r="A121" s="105"/>
      <c r="B121" s="76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1" ht="15" customHeight="1">
      <c r="A122" s="467" t="s">
        <v>271</v>
      </c>
      <c r="B122" s="75" t="s">
        <v>264</v>
      </c>
      <c r="C122" s="546">
        <v>13032.7</v>
      </c>
      <c r="D122" s="546">
        <v>14277.6</v>
      </c>
      <c r="E122" s="546">
        <v>15884.6</v>
      </c>
      <c r="F122" s="546">
        <v>9249.7</v>
      </c>
      <c r="G122" s="546">
        <v>3797.2</v>
      </c>
      <c r="H122" s="546">
        <v>3974.2</v>
      </c>
      <c r="I122" s="546">
        <v>4415.4</v>
      </c>
      <c r="J122" s="546">
        <v>4404.8</v>
      </c>
      <c r="K122" s="546">
        <v>4844.9</v>
      </c>
    </row>
    <row r="123" spans="1:11" ht="15" customHeight="1">
      <c r="A123" s="467"/>
      <c r="B123" s="75" t="s">
        <v>233</v>
      </c>
      <c r="C123" s="84">
        <v>12.8</v>
      </c>
      <c r="D123" s="84">
        <v>9.6</v>
      </c>
      <c r="E123" s="84">
        <v>11.3</v>
      </c>
      <c r="F123" s="84">
        <v>23.4</v>
      </c>
      <c r="G123" s="84">
        <v>9.4</v>
      </c>
      <c r="H123" s="84">
        <v>10.3</v>
      </c>
      <c r="I123" s="84">
        <v>13.2</v>
      </c>
      <c r="J123" s="84">
        <v>19.1</v>
      </c>
      <c r="K123" s="84">
        <v>27.6</v>
      </c>
    </row>
    <row r="124" spans="1:11" ht="12" customHeight="1">
      <c r="A124" s="389"/>
      <c r="B124" s="389"/>
      <c r="C124" s="553"/>
      <c r="D124" s="554"/>
      <c r="E124" s="554"/>
      <c r="F124" s="554"/>
      <c r="G124" s="554"/>
      <c r="H124" s="554"/>
      <c r="I124" s="554"/>
      <c r="J124" s="554"/>
      <c r="K124" s="554"/>
    </row>
    <row r="125" ht="16.5">
      <c r="A125" s="264"/>
    </row>
  </sheetData>
  <mergeCells count="6">
    <mergeCell ref="C6:C8"/>
    <mergeCell ref="D6:D8"/>
    <mergeCell ref="E6:E8"/>
    <mergeCell ref="C105:C107"/>
    <mergeCell ref="D105:D107"/>
    <mergeCell ref="E105:E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8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9.875" style="0" customWidth="1"/>
    <col min="2" max="9" width="8.375" style="0" customWidth="1"/>
    <col min="10" max="10" width="8.00390625" style="0" customWidth="1"/>
    <col min="11" max="11" width="10.125" style="0" customWidth="1"/>
  </cols>
  <sheetData>
    <row r="1" spans="1:9" s="57" customFormat="1" ht="15" customHeight="1">
      <c r="A1" s="55" t="s">
        <v>324</v>
      </c>
      <c r="B1" s="56"/>
      <c r="E1" s="56"/>
      <c r="I1" s="56"/>
    </row>
    <row r="2" spans="1:9" s="57" customFormat="1" ht="15" customHeight="1">
      <c r="A2" s="58"/>
      <c r="B2" s="56"/>
      <c r="E2" s="56"/>
      <c r="I2" s="56"/>
    </row>
    <row r="3" spans="1:9" s="57" customFormat="1" ht="15" customHeight="1">
      <c r="A3" s="58"/>
      <c r="B3" s="56"/>
      <c r="E3" s="56"/>
      <c r="I3" s="56"/>
    </row>
    <row r="4" ht="15" customHeight="1">
      <c r="A4" s="59" t="s">
        <v>345</v>
      </c>
    </row>
    <row r="5" ht="15" customHeight="1"/>
    <row r="6" spans="1:11" ht="15" customHeight="1">
      <c r="A6" s="60"/>
      <c r="B6" s="566">
        <v>1998</v>
      </c>
      <c r="C6" s="568">
        <v>1999</v>
      </c>
      <c r="D6" s="568">
        <v>2000</v>
      </c>
      <c r="E6" s="61" t="s">
        <v>346</v>
      </c>
      <c r="F6" s="38">
        <v>2000</v>
      </c>
      <c r="G6" s="38">
        <v>2000</v>
      </c>
      <c r="H6" s="38">
        <v>2000</v>
      </c>
      <c r="I6" s="62" t="s">
        <v>346</v>
      </c>
      <c r="J6" s="61" t="s">
        <v>346</v>
      </c>
      <c r="K6" s="38">
        <v>2001</v>
      </c>
    </row>
    <row r="7" spans="1:11" ht="15" customHeight="1">
      <c r="A7" s="63"/>
      <c r="B7" s="572"/>
      <c r="C7" s="573"/>
      <c r="D7" s="573"/>
      <c r="E7" s="65" t="s">
        <v>347</v>
      </c>
      <c r="F7" s="66" t="s">
        <v>327</v>
      </c>
      <c r="G7" s="66" t="s">
        <v>328</v>
      </c>
      <c r="H7" s="66" t="s">
        <v>329</v>
      </c>
      <c r="I7" s="66" t="s">
        <v>330</v>
      </c>
      <c r="J7" s="65" t="s">
        <v>327</v>
      </c>
      <c r="K7" s="66" t="s">
        <v>327</v>
      </c>
    </row>
    <row r="8" spans="1:11" ht="15" customHeight="1">
      <c r="A8" s="67"/>
      <c r="B8" s="567"/>
      <c r="C8" s="569"/>
      <c r="D8" s="569"/>
      <c r="E8" s="68" t="s">
        <v>327</v>
      </c>
      <c r="F8" s="69"/>
      <c r="G8" s="69"/>
      <c r="H8" s="69"/>
      <c r="I8" s="69"/>
      <c r="J8" s="68"/>
      <c r="K8" s="70" t="s">
        <v>348</v>
      </c>
    </row>
    <row r="9" spans="1:11" ht="9.75" customHeight="1">
      <c r="A9" s="71"/>
      <c r="E9" s="72"/>
      <c r="F9" s="72"/>
      <c r="G9" s="72"/>
      <c r="H9" s="72"/>
      <c r="I9" s="72"/>
      <c r="J9" s="72"/>
      <c r="K9" s="72"/>
    </row>
    <row r="10" spans="1:11" ht="15" customHeight="1">
      <c r="A10" s="73" t="s">
        <v>349</v>
      </c>
      <c r="E10" s="74"/>
      <c r="F10" s="74"/>
      <c r="G10" s="74"/>
      <c r="H10" s="74"/>
      <c r="I10" s="74"/>
      <c r="J10" s="74"/>
      <c r="K10" s="74"/>
    </row>
    <row r="11" spans="1:11" ht="3.75" customHeight="1">
      <c r="A11" s="75"/>
      <c r="E11" s="74"/>
      <c r="F11" s="74"/>
      <c r="G11" s="74"/>
      <c r="H11" s="74"/>
      <c r="I11" s="74"/>
      <c r="J11" s="74"/>
      <c r="K11" s="74"/>
    </row>
    <row r="12" spans="1:11" ht="15" customHeight="1">
      <c r="A12" s="76" t="s">
        <v>350</v>
      </c>
      <c r="B12" s="77">
        <v>17084</v>
      </c>
      <c r="C12" s="77">
        <v>17580</v>
      </c>
      <c r="D12" s="77">
        <v>20380</v>
      </c>
      <c r="E12" s="78">
        <v>8509</v>
      </c>
      <c r="F12" s="78">
        <v>5252</v>
      </c>
      <c r="G12" s="78">
        <v>5995</v>
      </c>
      <c r="H12" s="78">
        <v>5111</v>
      </c>
      <c r="I12" s="78">
        <v>3637</v>
      </c>
      <c r="J12" s="78">
        <v>4872</v>
      </c>
      <c r="K12" s="79">
        <v>-7.2</v>
      </c>
    </row>
    <row r="13" spans="1:11" ht="15" customHeight="1">
      <c r="A13" s="76" t="s">
        <v>351</v>
      </c>
      <c r="B13" s="77">
        <v>14442</v>
      </c>
      <c r="C13" s="77">
        <v>14728</v>
      </c>
      <c r="D13" s="77">
        <v>16804</v>
      </c>
      <c r="E13" s="78">
        <v>6893</v>
      </c>
      <c r="F13" s="78">
        <v>4377</v>
      </c>
      <c r="G13" s="78">
        <v>5039</v>
      </c>
      <c r="H13" s="78">
        <v>4119</v>
      </c>
      <c r="I13" s="78">
        <v>2759</v>
      </c>
      <c r="J13" s="78">
        <v>4134</v>
      </c>
      <c r="K13" s="79">
        <v>-5.6</v>
      </c>
    </row>
    <row r="14" spans="1:11" ht="15" customHeight="1">
      <c r="A14" s="76" t="s">
        <v>352</v>
      </c>
      <c r="B14" s="77">
        <v>2642</v>
      </c>
      <c r="C14" s="77">
        <v>2852</v>
      </c>
      <c r="D14" s="77">
        <v>3576</v>
      </c>
      <c r="E14" s="78">
        <v>1616</v>
      </c>
      <c r="F14" s="78">
        <v>875</v>
      </c>
      <c r="G14" s="78">
        <v>956</v>
      </c>
      <c r="H14" s="78">
        <v>992</v>
      </c>
      <c r="I14" s="78">
        <v>878</v>
      </c>
      <c r="J14" s="78">
        <v>738</v>
      </c>
      <c r="K14" s="79">
        <v>-15.7</v>
      </c>
    </row>
    <row r="15" spans="1:11" ht="15" customHeight="1">
      <c r="A15" s="76" t="s">
        <v>353</v>
      </c>
      <c r="B15" s="77">
        <v>15596</v>
      </c>
      <c r="C15" s="77">
        <v>16300</v>
      </c>
      <c r="D15" s="77">
        <v>18098</v>
      </c>
      <c r="E15" s="78">
        <v>9608</v>
      </c>
      <c r="F15" s="78">
        <v>4961</v>
      </c>
      <c r="G15" s="78">
        <v>4717</v>
      </c>
      <c r="H15" s="78">
        <v>4891</v>
      </c>
      <c r="I15" s="78">
        <v>4304</v>
      </c>
      <c r="J15" s="78">
        <v>5304</v>
      </c>
      <c r="K15" s="79">
        <v>6.9</v>
      </c>
    </row>
    <row r="16" spans="1:11" ht="15" customHeight="1">
      <c r="A16" s="76" t="s">
        <v>354</v>
      </c>
      <c r="B16" s="77">
        <v>1487</v>
      </c>
      <c r="C16" s="77">
        <v>1280</v>
      </c>
      <c r="D16" s="77">
        <v>2283</v>
      </c>
      <c r="E16" s="80">
        <v>-1099</v>
      </c>
      <c r="F16" s="78">
        <v>291</v>
      </c>
      <c r="G16" s="78">
        <v>1278</v>
      </c>
      <c r="H16" s="78">
        <v>220</v>
      </c>
      <c r="I16" s="81">
        <v>-667</v>
      </c>
      <c r="J16" s="81">
        <v>-432</v>
      </c>
      <c r="K16" s="79">
        <v>-248.5</v>
      </c>
    </row>
    <row r="17" spans="1:11" ht="7.5" customHeight="1">
      <c r="A17" s="75"/>
      <c r="E17" s="74"/>
      <c r="F17" s="74"/>
      <c r="G17" s="74"/>
      <c r="H17" s="74"/>
      <c r="I17" s="74"/>
      <c r="J17" s="74"/>
      <c r="K17" s="74"/>
    </row>
    <row r="18" spans="1:11" ht="15" customHeight="1">
      <c r="A18" s="73" t="s">
        <v>355</v>
      </c>
      <c r="B18" s="82"/>
      <c r="C18" s="82"/>
      <c r="D18" s="82"/>
      <c r="E18" s="79"/>
      <c r="F18" s="79"/>
      <c r="G18" s="79"/>
      <c r="H18" s="79"/>
      <c r="I18" s="79"/>
      <c r="J18" s="79"/>
      <c r="K18" s="79"/>
    </row>
    <row r="19" spans="1:11" ht="3.75" customHeight="1">
      <c r="A19" s="75"/>
      <c r="B19" s="82"/>
      <c r="C19" s="82"/>
      <c r="D19" s="82"/>
      <c r="E19" s="79"/>
      <c r="F19" s="79"/>
      <c r="G19" s="79"/>
      <c r="H19" s="79"/>
      <c r="I19" s="79"/>
      <c r="J19" s="79"/>
      <c r="K19" s="79"/>
    </row>
    <row r="20" spans="1:11" ht="15" customHeight="1">
      <c r="A20" s="76" t="s">
        <v>356</v>
      </c>
      <c r="B20" s="82">
        <v>6948.5</v>
      </c>
      <c r="C20" s="82">
        <v>7443.9</v>
      </c>
      <c r="D20" s="82">
        <v>9162.2</v>
      </c>
      <c r="E20" s="79">
        <v>5009.7</v>
      </c>
      <c r="F20" s="79">
        <v>2189.9</v>
      </c>
      <c r="G20" s="79">
        <v>2474.7</v>
      </c>
      <c r="H20" s="79">
        <v>2321.9</v>
      </c>
      <c r="I20" s="79">
        <v>2453.1</v>
      </c>
      <c r="J20" s="79">
        <v>2556.6</v>
      </c>
      <c r="K20" s="83">
        <v>16.8</v>
      </c>
    </row>
    <row r="21" spans="1:11" ht="15" customHeight="1">
      <c r="A21" s="76" t="s">
        <v>357</v>
      </c>
      <c r="B21" s="82">
        <v>1.3</v>
      </c>
      <c r="C21" s="82">
        <v>1.4</v>
      </c>
      <c r="D21" s="82">
        <v>1.3</v>
      </c>
      <c r="E21" s="84" t="s">
        <v>358</v>
      </c>
      <c r="F21" s="79">
        <v>1.2</v>
      </c>
      <c r="G21" s="79">
        <v>1.3</v>
      </c>
      <c r="H21" s="79">
        <v>1.3</v>
      </c>
      <c r="I21" s="79">
        <v>1.3</v>
      </c>
      <c r="J21" s="79">
        <v>1.4</v>
      </c>
      <c r="K21" s="84" t="s">
        <v>359</v>
      </c>
    </row>
    <row r="22" spans="1:11" ht="15" customHeight="1">
      <c r="A22" s="76" t="s">
        <v>360</v>
      </c>
      <c r="B22" s="85">
        <v>1392</v>
      </c>
      <c r="C22" s="85">
        <v>1373</v>
      </c>
      <c r="D22" s="85">
        <v>1367</v>
      </c>
      <c r="E22" s="86" t="s">
        <v>358</v>
      </c>
      <c r="F22" s="87">
        <v>1215</v>
      </c>
      <c r="G22" s="87">
        <v>1467</v>
      </c>
      <c r="H22" s="87">
        <v>1311</v>
      </c>
      <c r="I22" s="87">
        <v>1321</v>
      </c>
      <c r="J22" s="87">
        <v>1351</v>
      </c>
      <c r="K22" s="83">
        <v>11.2</v>
      </c>
    </row>
    <row r="23" spans="1:11" ht="15" customHeight="1">
      <c r="A23" s="76" t="s">
        <v>361</v>
      </c>
      <c r="B23" s="82">
        <v>51.3</v>
      </c>
      <c r="C23" s="82">
        <v>53.7</v>
      </c>
      <c r="D23" s="82">
        <v>57.6</v>
      </c>
      <c r="E23" s="79">
        <v>57.6</v>
      </c>
      <c r="F23" s="79">
        <v>56.9</v>
      </c>
      <c r="G23" s="79">
        <v>60.3</v>
      </c>
      <c r="H23" s="79">
        <v>58.7</v>
      </c>
      <c r="I23" s="79">
        <v>55.6</v>
      </c>
      <c r="J23" s="79">
        <v>59.6</v>
      </c>
      <c r="K23" s="88" t="s">
        <v>362</v>
      </c>
    </row>
    <row r="24" spans="1:11" ht="7.5" customHeight="1">
      <c r="A24" s="75"/>
      <c r="E24" s="74"/>
      <c r="F24" s="74"/>
      <c r="G24" s="74"/>
      <c r="H24" s="74"/>
      <c r="I24" s="74"/>
      <c r="J24" s="74"/>
      <c r="K24" s="74"/>
    </row>
    <row r="25" spans="1:11" ht="15" customHeight="1">
      <c r="A25" s="73" t="s">
        <v>363</v>
      </c>
      <c r="E25" s="74"/>
      <c r="F25" s="74"/>
      <c r="G25" s="74"/>
      <c r="H25" s="74"/>
      <c r="I25" s="74"/>
      <c r="J25" s="74"/>
      <c r="K25" s="74"/>
    </row>
    <row r="26" spans="1:11" ht="3.75" customHeight="1">
      <c r="A26" s="75"/>
      <c r="E26" s="74"/>
      <c r="F26" s="74"/>
      <c r="G26" s="74"/>
      <c r="H26" s="74"/>
      <c r="I26" s="74"/>
      <c r="J26" s="74"/>
      <c r="K26" s="74"/>
    </row>
    <row r="27" spans="1:11" ht="15" customHeight="1">
      <c r="A27" s="76" t="s">
        <v>364</v>
      </c>
      <c r="B27" s="89">
        <v>1258.9</v>
      </c>
      <c r="C27" s="89">
        <v>785.3</v>
      </c>
      <c r="D27" s="89">
        <v>484.9</v>
      </c>
      <c r="E27" s="90">
        <v>38.1</v>
      </c>
      <c r="F27" s="91">
        <v>25.6</v>
      </c>
      <c r="G27" s="90">
        <v>41</v>
      </c>
      <c r="H27" s="90">
        <v>418.3</v>
      </c>
      <c r="I27" s="90">
        <v>6.4</v>
      </c>
      <c r="J27" s="90">
        <v>31.7</v>
      </c>
      <c r="K27" s="92">
        <v>23.9</v>
      </c>
    </row>
    <row r="28" spans="1:11" ht="15" customHeight="1">
      <c r="A28" s="76" t="s">
        <v>365</v>
      </c>
      <c r="E28" s="74"/>
      <c r="F28" s="74"/>
      <c r="G28" s="74"/>
      <c r="H28" s="74"/>
      <c r="I28" s="74"/>
      <c r="J28" s="74"/>
      <c r="K28" s="74"/>
    </row>
    <row r="29" spans="1:11" ht="15" customHeight="1">
      <c r="A29" s="75" t="s">
        <v>366</v>
      </c>
      <c r="B29" s="93">
        <v>569.987</v>
      </c>
      <c r="C29" s="86">
        <v>417.225</v>
      </c>
      <c r="D29" s="86">
        <v>202.776</v>
      </c>
      <c r="E29" s="86">
        <v>104.862</v>
      </c>
      <c r="F29" s="86">
        <v>59.348</v>
      </c>
      <c r="G29" s="86">
        <v>62.909</v>
      </c>
      <c r="H29" s="86">
        <v>31.576</v>
      </c>
      <c r="I29" s="86">
        <v>31.651</v>
      </c>
      <c r="J29" s="86">
        <v>73.211</v>
      </c>
      <c r="K29" s="84">
        <v>23.4</v>
      </c>
    </row>
    <row r="30" spans="1:11" ht="15" customHeight="1">
      <c r="A30" s="75" t="s">
        <v>367</v>
      </c>
      <c r="B30" s="93">
        <v>969.192</v>
      </c>
      <c r="C30" s="86">
        <v>668.778</v>
      </c>
      <c r="D30" s="86">
        <v>370.315</v>
      </c>
      <c r="E30" s="86">
        <v>219.256</v>
      </c>
      <c r="F30" s="86">
        <v>51.972</v>
      </c>
      <c r="G30" s="86">
        <v>126.235</v>
      </c>
      <c r="H30" s="86">
        <v>162.74</v>
      </c>
      <c r="I30" s="86">
        <v>171.068</v>
      </c>
      <c r="J30" s="86">
        <v>48.188</v>
      </c>
      <c r="K30" s="84">
        <v>-7.3</v>
      </c>
    </row>
    <row r="31" spans="1:11" ht="15" customHeight="1">
      <c r="A31" s="76" t="s">
        <v>368</v>
      </c>
      <c r="B31" s="86">
        <v>12776</v>
      </c>
      <c r="C31" s="86">
        <v>11039</v>
      </c>
      <c r="D31" s="86">
        <v>10211</v>
      </c>
      <c r="E31" s="86">
        <v>4209</v>
      </c>
      <c r="F31" s="86">
        <v>2736</v>
      </c>
      <c r="G31" s="86">
        <v>2249</v>
      </c>
      <c r="H31" s="86">
        <v>2241</v>
      </c>
      <c r="I31" s="86">
        <v>2371</v>
      </c>
      <c r="J31" s="86">
        <v>1838</v>
      </c>
      <c r="K31" s="94">
        <v>-32.8</v>
      </c>
    </row>
    <row r="32" spans="1:11" ht="7.5" customHeight="1">
      <c r="A32" s="75"/>
      <c r="E32" s="74"/>
      <c r="F32" s="74"/>
      <c r="G32" s="74"/>
      <c r="H32" s="74"/>
      <c r="I32" s="74"/>
      <c r="J32" s="74"/>
      <c r="K32" s="74"/>
    </row>
    <row r="33" spans="1:11" ht="15" customHeight="1">
      <c r="A33" s="73" t="s">
        <v>369</v>
      </c>
      <c r="E33" s="74"/>
      <c r="F33" s="74"/>
      <c r="G33" s="74"/>
      <c r="H33" s="74"/>
      <c r="I33" s="74"/>
      <c r="J33" s="74"/>
      <c r="K33" s="74"/>
    </row>
    <row r="34" spans="1:11" ht="3.75" customHeight="1">
      <c r="A34" s="75"/>
      <c r="E34" s="74"/>
      <c r="F34" s="74"/>
      <c r="G34" s="74"/>
      <c r="H34" s="74"/>
      <c r="I34" s="74"/>
      <c r="J34" s="74"/>
      <c r="K34" s="74"/>
    </row>
    <row r="35" spans="1:11" ht="15" customHeight="1">
      <c r="A35" s="95" t="s">
        <v>370</v>
      </c>
      <c r="B35" s="96" t="s">
        <v>358</v>
      </c>
      <c r="C35" s="97">
        <v>331450</v>
      </c>
      <c r="D35" s="97">
        <v>344957</v>
      </c>
      <c r="E35" s="98">
        <v>160025</v>
      </c>
      <c r="F35" s="98">
        <v>88951</v>
      </c>
      <c r="G35" s="98">
        <v>93994</v>
      </c>
      <c r="H35" s="98">
        <v>91457</v>
      </c>
      <c r="I35" s="99" t="s">
        <v>371</v>
      </c>
      <c r="J35" s="98">
        <v>82030</v>
      </c>
      <c r="K35" s="100">
        <v>-7.8</v>
      </c>
    </row>
    <row r="36" spans="1:11" ht="15" customHeight="1">
      <c r="A36" s="95" t="s">
        <v>372</v>
      </c>
      <c r="B36" s="96" t="s">
        <v>358</v>
      </c>
      <c r="C36" s="97">
        <v>95746</v>
      </c>
      <c r="D36" s="97">
        <v>94685</v>
      </c>
      <c r="E36" s="98">
        <v>35798</v>
      </c>
      <c r="F36" s="98">
        <v>26076</v>
      </c>
      <c r="G36" s="98">
        <v>26712</v>
      </c>
      <c r="H36" s="98">
        <v>26506</v>
      </c>
      <c r="I36" s="98">
        <v>20079</v>
      </c>
      <c r="J36" s="98">
        <v>15719</v>
      </c>
      <c r="K36" s="100">
        <v>-39.7</v>
      </c>
    </row>
    <row r="37" spans="1:11" ht="15" customHeight="1" hidden="1">
      <c r="A37" s="75" t="s">
        <v>373</v>
      </c>
      <c r="B37" s="101"/>
      <c r="C37" s="97"/>
      <c r="D37" s="97"/>
      <c r="E37" s="98"/>
      <c r="F37" s="98"/>
      <c r="G37" s="98"/>
      <c r="H37" s="98"/>
      <c r="I37" s="98"/>
      <c r="J37" s="98"/>
      <c r="K37" s="100"/>
    </row>
    <row r="38" spans="1:11" ht="15" customHeight="1" hidden="1">
      <c r="A38" s="75" t="s">
        <v>374</v>
      </c>
      <c r="B38" s="101"/>
      <c r="C38" s="97"/>
      <c r="D38" s="97"/>
      <c r="E38" s="98"/>
      <c r="F38" s="98"/>
      <c r="G38" s="98"/>
      <c r="H38" s="98"/>
      <c r="I38" s="98"/>
      <c r="J38" s="98"/>
      <c r="K38" s="100"/>
    </row>
    <row r="39" spans="1:11" ht="15" customHeight="1" hidden="1">
      <c r="A39" s="75" t="s">
        <v>375</v>
      </c>
      <c r="B39" s="101"/>
      <c r="C39" s="97"/>
      <c r="D39" s="97"/>
      <c r="E39" s="98"/>
      <c r="F39" s="98"/>
      <c r="G39" s="98"/>
      <c r="H39" s="98"/>
      <c r="I39" s="98"/>
      <c r="J39" s="98"/>
      <c r="K39" s="100"/>
    </row>
    <row r="40" spans="1:11" ht="15" customHeight="1" hidden="1">
      <c r="A40" s="75" t="s">
        <v>376</v>
      </c>
      <c r="B40" s="101"/>
      <c r="C40" s="97"/>
      <c r="D40" s="97"/>
      <c r="E40" s="98"/>
      <c r="F40" s="98"/>
      <c r="G40" s="98"/>
      <c r="H40" s="98"/>
      <c r="I40" s="98"/>
      <c r="J40" s="98"/>
      <c r="K40" s="100"/>
    </row>
    <row r="41" spans="1:11" ht="15" customHeight="1">
      <c r="A41" s="75" t="s">
        <v>377</v>
      </c>
      <c r="B41" s="102">
        <v>65166.8</v>
      </c>
      <c r="C41" s="102">
        <v>53115.8</v>
      </c>
      <c r="D41" s="102">
        <v>68027.5</v>
      </c>
      <c r="E41" s="102">
        <v>32463.1</v>
      </c>
      <c r="F41" s="102">
        <v>17726.7</v>
      </c>
      <c r="G41" s="102">
        <v>17767.3</v>
      </c>
      <c r="H41" s="102">
        <v>19651.9</v>
      </c>
      <c r="I41" s="102">
        <v>15790.1</v>
      </c>
      <c r="J41" s="102">
        <v>16673.1</v>
      </c>
      <c r="K41" s="100">
        <v>-5.9</v>
      </c>
    </row>
    <row r="42" spans="1:11" ht="7.5" customHeight="1">
      <c r="A42" s="75"/>
      <c r="E42" s="74"/>
      <c r="F42" s="74"/>
      <c r="G42" s="74"/>
      <c r="H42" s="74"/>
      <c r="I42" s="74"/>
      <c r="J42" s="74"/>
      <c r="K42" s="74"/>
    </row>
    <row r="43" spans="1:11" ht="15" customHeight="1">
      <c r="A43" s="73" t="s">
        <v>378</v>
      </c>
      <c r="K43" s="74"/>
    </row>
    <row r="44" spans="1:11" ht="3.75" customHeight="1">
      <c r="A44" s="75"/>
      <c r="E44" s="74"/>
      <c r="F44" s="74"/>
      <c r="G44" s="74"/>
      <c r="H44" s="74"/>
      <c r="I44" s="74"/>
      <c r="J44" s="74"/>
      <c r="K44" s="74"/>
    </row>
    <row r="45" spans="1:11" ht="15" customHeight="1">
      <c r="A45" s="76" t="s">
        <v>379</v>
      </c>
      <c r="B45" s="103" t="s">
        <v>380</v>
      </c>
      <c r="C45" s="84">
        <v>-3.2</v>
      </c>
      <c r="D45" s="84">
        <v>-1.61</v>
      </c>
      <c r="E45" s="84">
        <v>-1.59</v>
      </c>
      <c r="F45" s="84">
        <v>-1.84</v>
      </c>
      <c r="G45" s="84">
        <v>-1.15</v>
      </c>
      <c r="H45" s="84">
        <v>-1.07</v>
      </c>
      <c r="I45" s="84">
        <v>-1.65</v>
      </c>
      <c r="J45" s="84">
        <v>-1.55</v>
      </c>
      <c r="K45" s="104" t="s">
        <v>381</v>
      </c>
    </row>
    <row r="46" spans="1:11" ht="15" customHeight="1">
      <c r="A46" s="76" t="s">
        <v>382</v>
      </c>
      <c r="B46" s="84">
        <v>104.5</v>
      </c>
      <c r="C46" s="84">
        <v>101.12</v>
      </c>
      <c r="D46" s="84">
        <v>99.49</v>
      </c>
      <c r="E46" s="84">
        <v>98.21</v>
      </c>
      <c r="F46" s="84">
        <v>99.56</v>
      </c>
      <c r="G46" s="84">
        <v>99.22</v>
      </c>
      <c r="H46" s="84">
        <v>99.14</v>
      </c>
      <c r="I46" s="84">
        <v>98.39</v>
      </c>
      <c r="J46" s="84">
        <v>98.02</v>
      </c>
      <c r="K46" s="79">
        <v>-1.55</v>
      </c>
    </row>
    <row r="47" spans="1:11" ht="15" customHeight="1" hidden="1">
      <c r="A47" s="76" t="s">
        <v>383</v>
      </c>
      <c r="E47" s="74"/>
      <c r="F47" s="74"/>
      <c r="G47" s="74"/>
      <c r="H47" s="74"/>
      <c r="I47" s="74"/>
      <c r="J47" s="74"/>
      <c r="K47" s="105"/>
    </row>
    <row r="48" spans="1:11" ht="15" customHeight="1">
      <c r="A48" s="106" t="s">
        <v>384</v>
      </c>
      <c r="B48" s="107" t="s">
        <v>385</v>
      </c>
      <c r="C48" s="107" t="s">
        <v>385</v>
      </c>
      <c r="D48" s="108">
        <v>4594</v>
      </c>
      <c r="E48" s="108">
        <v>2343</v>
      </c>
      <c r="F48" s="108">
        <v>1015</v>
      </c>
      <c r="G48" s="108">
        <v>1112</v>
      </c>
      <c r="H48" s="108">
        <v>1156</v>
      </c>
      <c r="I48" s="109" t="s">
        <v>386</v>
      </c>
      <c r="J48" s="108">
        <v>1160</v>
      </c>
      <c r="K48" s="83">
        <v>14.3</v>
      </c>
    </row>
    <row r="49" spans="1:11" ht="7.5" customHeight="1">
      <c r="A49" s="75"/>
      <c r="E49" s="74"/>
      <c r="F49" s="74"/>
      <c r="G49" s="74"/>
      <c r="H49" s="74"/>
      <c r="I49" s="74"/>
      <c r="J49" s="74"/>
      <c r="K49" s="74"/>
    </row>
    <row r="50" spans="1:11" ht="15" customHeight="1">
      <c r="A50" s="73" t="s">
        <v>387</v>
      </c>
      <c r="E50" s="74"/>
      <c r="F50" s="74"/>
      <c r="G50" s="74"/>
      <c r="H50" s="74"/>
      <c r="I50" s="74"/>
      <c r="J50" s="74"/>
      <c r="K50" s="74"/>
    </row>
    <row r="51" spans="1:11" ht="3.75" customHeight="1">
      <c r="A51" s="75"/>
      <c r="E51" s="74"/>
      <c r="F51" s="74"/>
      <c r="G51" s="74"/>
      <c r="H51" s="74"/>
      <c r="I51" s="74"/>
      <c r="J51" s="74"/>
      <c r="K51" s="74"/>
    </row>
    <row r="52" spans="1:11" ht="15" customHeight="1">
      <c r="A52" s="76" t="s">
        <v>388</v>
      </c>
      <c r="B52" s="82">
        <v>4.6</v>
      </c>
      <c r="C52" s="82">
        <v>6.4</v>
      </c>
      <c r="D52" s="82">
        <v>6.8</v>
      </c>
      <c r="E52" s="110" t="s">
        <v>389</v>
      </c>
      <c r="F52" s="79">
        <v>7.1</v>
      </c>
      <c r="G52" s="79">
        <v>6.7</v>
      </c>
      <c r="H52" s="79">
        <v>6.6</v>
      </c>
      <c r="I52" s="79">
        <v>6.3</v>
      </c>
      <c r="J52" s="79">
        <v>6.4</v>
      </c>
      <c r="K52" s="88" t="s">
        <v>390</v>
      </c>
    </row>
    <row r="53" spans="1:11" ht="15" customHeight="1">
      <c r="A53" s="111" t="s">
        <v>391</v>
      </c>
      <c r="B53" s="82">
        <v>5.06</v>
      </c>
      <c r="C53" s="82">
        <v>4.89</v>
      </c>
      <c r="D53" s="82">
        <v>4.8</v>
      </c>
      <c r="E53" s="110" t="s">
        <v>389</v>
      </c>
      <c r="F53" s="79">
        <v>4.68</v>
      </c>
      <c r="G53" s="79">
        <v>4.81</v>
      </c>
      <c r="H53" s="79">
        <v>4.68</v>
      </c>
      <c r="I53" s="79">
        <v>4.7</v>
      </c>
      <c r="J53" s="79">
        <v>4.6</v>
      </c>
      <c r="K53" s="83">
        <v>-1.8</v>
      </c>
    </row>
    <row r="54" spans="1:11" ht="15" customHeight="1">
      <c r="A54" s="76" t="s">
        <v>392</v>
      </c>
      <c r="B54" s="97">
        <v>32013</v>
      </c>
      <c r="C54" s="97">
        <v>32183</v>
      </c>
      <c r="D54" s="97">
        <v>27221</v>
      </c>
      <c r="E54" s="110" t="s">
        <v>389</v>
      </c>
      <c r="F54" s="97">
        <v>28215</v>
      </c>
      <c r="G54" s="97">
        <v>28113</v>
      </c>
      <c r="H54" s="97">
        <v>27221</v>
      </c>
      <c r="I54" s="97">
        <v>25777</v>
      </c>
      <c r="J54" s="97">
        <v>25813</v>
      </c>
      <c r="K54" s="83">
        <v>-8.5</v>
      </c>
    </row>
    <row r="55" spans="1:11" ht="7.5" customHeight="1">
      <c r="A55" s="75"/>
      <c r="E55" s="74"/>
      <c r="F55" s="74"/>
      <c r="G55" s="74"/>
      <c r="H55" s="74"/>
      <c r="I55" s="74"/>
      <c r="J55" s="74"/>
      <c r="K55" s="74"/>
    </row>
    <row r="56" spans="1:11" ht="15" customHeight="1">
      <c r="A56" s="73" t="s">
        <v>393</v>
      </c>
      <c r="E56" s="74"/>
      <c r="F56" s="74"/>
      <c r="G56" s="74"/>
      <c r="H56" s="74"/>
      <c r="I56" s="74"/>
      <c r="J56" s="74"/>
      <c r="K56" s="74"/>
    </row>
    <row r="57" spans="1:11" ht="3.75" customHeight="1">
      <c r="A57" s="75"/>
      <c r="E57" s="74"/>
      <c r="F57" s="74"/>
      <c r="G57" s="74"/>
      <c r="H57" s="74"/>
      <c r="I57" s="74"/>
      <c r="J57" s="74"/>
      <c r="K57" s="74"/>
    </row>
    <row r="58" spans="1:12" ht="15" customHeight="1">
      <c r="A58" s="76" t="s">
        <v>394</v>
      </c>
      <c r="B58" s="112">
        <v>15548.388</v>
      </c>
      <c r="C58" s="90">
        <v>16942.597</v>
      </c>
      <c r="D58" s="90">
        <v>15338.5</v>
      </c>
      <c r="E58" s="113">
        <v>4684.4</v>
      </c>
      <c r="F58" s="114" t="s">
        <v>395</v>
      </c>
      <c r="G58" s="114" t="s">
        <v>396</v>
      </c>
      <c r="H58" s="114" t="s">
        <v>397</v>
      </c>
      <c r="I58" s="114" t="s">
        <v>398</v>
      </c>
      <c r="J58" s="115" t="s">
        <v>399</v>
      </c>
      <c r="K58" s="116">
        <v>22.6</v>
      </c>
      <c r="L58" s="57"/>
    </row>
    <row r="59" spans="1:12" ht="15" customHeight="1">
      <c r="A59" s="111" t="s">
        <v>400</v>
      </c>
      <c r="B59" s="89">
        <v>5117.67</v>
      </c>
      <c r="C59" s="90">
        <v>4767.168</v>
      </c>
      <c r="D59" s="89">
        <v>5646.492</v>
      </c>
      <c r="E59" s="117">
        <v>3093.4</v>
      </c>
      <c r="F59" s="79">
        <v>1355.261105</v>
      </c>
      <c r="G59" s="79">
        <v>1444.175062</v>
      </c>
      <c r="H59" s="79">
        <v>1354.446955</v>
      </c>
      <c r="I59" s="79">
        <v>1533.173874</v>
      </c>
      <c r="J59" s="118">
        <v>1560.2</v>
      </c>
      <c r="K59" s="116">
        <v>15.1</v>
      </c>
      <c r="L59" s="57"/>
    </row>
    <row r="60" spans="1:12" ht="15" customHeight="1">
      <c r="A60" s="76" t="s">
        <v>401</v>
      </c>
      <c r="B60" s="112">
        <v>15505.724</v>
      </c>
      <c r="C60" s="90">
        <v>16636.176</v>
      </c>
      <c r="D60" s="90">
        <v>15024.3</v>
      </c>
      <c r="E60" s="113">
        <v>3709.6</v>
      </c>
      <c r="F60" s="114" t="s">
        <v>402</v>
      </c>
      <c r="G60" s="114" t="s">
        <v>403</v>
      </c>
      <c r="H60" s="114" t="s">
        <v>404</v>
      </c>
      <c r="I60" s="114" t="s">
        <v>405</v>
      </c>
      <c r="J60" s="119" t="s">
        <v>406</v>
      </c>
      <c r="K60" s="116">
        <v>-31.2</v>
      </c>
      <c r="L60" s="57"/>
    </row>
    <row r="61" spans="1:11" ht="7.5" customHeight="1">
      <c r="A61" s="75"/>
      <c r="E61" s="74"/>
      <c r="F61" s="74"/>
      <c r="G61" s="74"/>
      <c r="H61" s="74"/>
      <c r="I61" s="74"/>
      <c r="J61" s="74"/>
      <c r="K61" s="74"/>
    </row>
    <row r="62" spans="1:11" ht="15" customHeight="1">
      <c r="A62" s="73" t="s">
        <v>407</v>
      </c>
      <c r="E62" s="74"/>
      <c r="F62" s="74"/>
      <c r="G62" s="74"/>
      <c r="H62" s="74"/>
      <c r="I62" s="74"/>
      <c r="J62" s="74"/>
      <c r="K62" s="74"/>
    </row>
    <row r="63" spans="1:11" ht="3.75" customHeight="1">
      <c r="A63" s="75"/>
      <c r="E63" s="74"/>
      <c r="F63" s="74"/>
      <c r="G63" s="74"/>
      <c r="H63" s="74"/>
      <c r="I63" s="74"/>
      <c r="J63" s="74"/>
      <c r="K63" s="74"/>
    </row>
    <row r="64" spans="1:12" ht="15" customHeight="1">
      <c r="A64" s="95" t="s">
        <v>408</v>
      </c>
      <c r="B64" s="120">
        <v>5660.9</v>
      </c>
      <c r="C64" s="120">
        <v>5153.4</v>
      </c>
      <c r="D64" s="120">
        <v>4408.7</v>
      </c>
      <c r="E64" s="84">
        <v>4994.6</v>
      </c>
      <c r="F64" s="121">
        <v>4785.8</v>
      </c>
      <c r="G64" s="121">
        <v>4508</v>
      </c>
      <c r="H64" s="121">
        <v>4408.7</v>
      </c>
      <c r="I64" s="122" t="s">
        <v>409</v>
      </c>
      <c r="J64" s="88">
        <v>4994.6</v>
      </c>
      <c r="K64" s="123">
        <v>4.362906933010158</v>
      </c>
      <c r="L64" s="124"/>
    </row>
    <row r="65" spans="1:12" ht="15" customHeight="1">
      <c r="A65" s="75" t="s">
        <v>410</v>
      </c>
      <c r="B65" s="120">
        <v>86216.5</v>
      </c>
      <c r="C65" s="120">
        <v>90139.7</v>
      </c>
      <c r="D65" s="103" t="s">
        <v>411</v>
      </c>
      <c r="E65" s="84">
        <v>92219.4</v>
      </c>
      <c r="F65" s="121">
        <v>85240.4</v>
      </c>
      <c r="G65" s="121">
        <v>87768.4</v>
      </c>
      <c r="H65" s="122" t="s">
        <v>411</v>
      </c>
      <c r="I65" s="122" t="s">
        <v>412</v>
      </c>
      <c r="J65" s="88">
        <v>92219.4</v>
      </c>
      <c r="K65" s="123">
        <v>8.187432250435233</v>
      </c>
      <c r="L65" s="124"/>
    </row>
    <row r="66" spans="1:12" ht="15" customHeight="1">
      <c r="A66" s="75" t="s">
        <v>413</v>
      </c>
      <c r="B66" s="120">
        <v>48049.3</v>
      </c>
      <c r="C66" s="120">
        <v>46607.6</v>
      </c>
      <c r="D66" s="120">
        <v>44625.5</v>
      </c>
      <c r="E66" s="84">
        <v>43886.5</v>
      </c>
      <c r="F66" s="121">
        <v>45939.7</v>
      </c>
      <c r="G66" s="121">
        <v>45797</v>
      </c>
      <c r="H66" s="121">
        <v>44625.5</v>
      </c>
      <c r="I66" s="122" t="s">
        <v>414</v>
      </c>
      <c r="J66" s="88">
        <v>43886.5</v>
      </c>
      <c r="K66" s="123">
        <v>-4.469336978691629</v>
      </c>
      <c r="L66" s="124"/>
    </row>
    <row r="67" spans="1:12" ht="15" customHeight="1">
      <c r="A67" s="75" t="s">
        <v>415</v>
      </c>
      <c r="B67" s="120">
        <v>52873.3</v>
      </c>
      <c r="C67" s="120">
        <v>58851.5</v>
      </c>
      <c r="D67" s="103" t="s">
        <v>416</v>
      </c>
      <c r="E67" s="121">
        <v>78107.7</v>
      </c>
      <c r="F67" s="121">
        <v>65456.019</v>
      </c>
      <c r="G67" s="121">
        <v>69822.5</v>
      </c>
      <c r="H67" s="122" t="s">
        <v>416</v>
      </c>
      <c r="I67" s="122" t="s">
        <v>417</v>
      </c>
      <c r="J67" s="122">
        <v>78107.7</v>
      </c>
      <c r="K67" s="123">
        <v>19.328622781046324</v>
      </c>
      <c r="L67" s="124"/>
    </row>
    <row r="68" spans="1:11" ht="7.5" customHeight="1">
      <c r="A68" s="75"/>
      <c r="E68" s="74"/>
      <c r="F68" s="74"/>
      <c r="G68" s="74"/>
      <c r="H68" s="74"/>
      <c r="I68" s="74"/>
      <c r="J68" s="74"/>
      <c r="K68" s="74"/>
    </row>
    <row r="69" spans="1:11" ht="15" customHeight="1">
      <c r="A69" s="73" t="s">
        <v>418</v>
      </c>
      <c r="E69" s="74"/>
      <c r="F69" s="74"/>
      <c r="G69" s="74"/>
      <c r="H69" s="74"/>
      <c r="I69" s="74"/>
      <c r="J69" s="74"/>
      <c r="K69" s="74"/>
    </row>
    <row r="70" spans="1:11" ht="3.75" customHeight="1">
      <c r="A70" s="75"/>
      <c r="E70" s="74"/>
      <c r="F70" s="74"/>
      <c r="G70" s="74"/>
      <c r="H70" s="74"/>
      <c r="I70" s="74"/>
      <c r="J70" s="74"/>
      <c r="K70" s="74"/>
    </row>
    <row r="71" spans="1:11" ht="15" customHeight="1">
      <c r="A71" s="75" t="s">
        <v>419</v>
      </c>
      <c r="B71" s="86">
        <v>479</v>
      </c>
      <c r="C71" s="86">
        <v>439</v>
      </c>
      <c r="D71" s="86">
        <v>716</v>
      </c>
      <c r="E71" s="86">
        <v>390</v>
      </c>
      <c r="F71" s="86">
        <v>163</v>
      </c>
      <c r="G71" s="86">
        <v>205</v>
      </c>
      <c r="H71" s="86">
        <v>187</v>
      </c>
      <c r="I71" s="86">
        <v>188</v>
      </c>
      <c r="J71" s="86">
        <v>202</v>
      </c>
      <c r="K71" s="84">
        <v>23.9</v>
      </c>
    </row>
    <row r="72" spans="1:11" ht="15" customHeight="1">
      <c r="A72" s="75" t="s">
        <v>420</v>
      </c>
      <c r="B72" s="86">
        <v>59</v>
      </c>
      <c r="C72" s="86">
        <v>69</v>
      </c>
      <c r="D72" s="86">
        <v>111</v>
      </c>
      <c r="E72" s="86">
        <v>41</v>
      </c>
      <c r="F72" s="86">
        <v>34</v>
      </c>
      <c r="G72" s="86">
        <v>22</v>
      </c>
      <c r="H72" s="86">
        <v>26</v>
      </c>
      <c r="I72" s="86">
        <v>17</v>
      </c>
      <c r="J72" s="86">
        <v>24</v>
      </c>
      <c r="K72" s="84">
        <v>-29.4</v>
      </c>
    </row>
    <row r="73" spans="1:11" ht="15" customHeight="1">
      <c r="A73" s="75" t="s">
        <v>421</v>
      </c>
      <c r="B73" s="112">
        <v>1514.7</v>
      </c>
      <c r="C73" s="90">
        <v>1520.6</v>
      </c>
      <c r="D73" s="90">
        <v>1564.6</v>
      </c>
      <c r="E73" s="125">
        <v>733.143</v>
      </c>
      <c r="F73" s="90">
        <v>419.542</v>
      </c>
      <c r="G73" s="90">
        <v>488.314</v>
      </c>
      <c r="H73" s="90">
        <v>359.219</v>
      </c>
      <c r="I73" s="90">
        <v>310.041</v>
      </c>
      <c r="J73" s="84">
        <v>423.102</v>
      </c>
      <c r="K73" s="84">
        <v>0.8</v>
      </c>
    </row>
    <row r="74" spans="1:11" ht="9.75" customHeigh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</row>
    <row r="75" spans="1:11" ht="4.5" customHeight="1">
      <c r="A75" s="128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ht="15" customHeight="1">
      <c r="A76" s="129" t="s">
        <v>422</v>
      </c>
    </row>
    <row r="77" ht="15" customHeight="1">
      <c r="A77" s="130" t="s">
        <v>423</v>
      </c>
    </row>
    <row r="78" ht="16.5">
      <c r="A78" s="130" t="s">
        <v>424</v>
      </c>
    </row>
    <row r="79" ht="16.5">
      <c r="A79" s="130" t="s">
        <v>425</v>
      </c>
    </row>
    <row r="80" ht="16.5">
      <c r="A80" s="130" t="s">
        <v>426</v>
      </c>
    </row>
    <row r="81" ht="16.5">
      <c r="A81" s="130" t="s">
        <v>427</v>
      </c>
    </row>
    <row r="82" ht="16.5">
      <c r="A82" s="130"/>
    </row>
  </sheetData>
  <mergeCells count="3"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L73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3.00390625" style="0" customWidth="1"/>
    <col min="2" max="2" width="12.75390625" style="0" customWidth="1"/>
    <col min="3" max="11" width="8.125" style="0" customWidth="1"/>
  </cols>
  <sheetData>
    <row r="1" spans="1:11" s="57" customFormat="1" ht="15" customHeight="1">
      <c r="A1" s="534" t="s">
        <v>272</v>
      </c>
      <c r="B1" s="535"/>
      <c r="C1" s="105"/>
      <c r="D1" s="44"/>
      <c r="E1" s="44"/>
      <c r="F1" s="44"/>
      <c r="G1" s="105"/>
      <c r="H1" s="44"/>
      <c r="I1" s="44"/>
      <c r="J1" s="44"/>
      <c r="K1" s="105"/>
    </row>
    <row r="2" spans="1:11" s="57" customFormat="1" ht="15" customHeight="1">
      <c r="A2" s="536"/>
      <c r="B2" s="535"/>
      <c r="C2" s="105"/>
      <c r="D2" s="44"/>
      <c r="E2" s="44"/>
      <c r="F2" s="44"/>
      <c r="G2" s="105"/>
      <c r="H2" s="44"/>
      <c r="I2" s="44"/>
      <c r="J2" s="44"/>
      <c r="K2" s="105"/>
    </row>
    <row r="3" spans="1:11" s="57" customFormat="1" ht="15" customHeight="1">
      <c r="A3" s="536"/>
      <c r="B3" s="535"/>
      <c r="C3" s="105"/>
      <c r="D3" s="44"/>
      <c r="E3" s="44"/>
      <c r="F3" s="44"/>
      <c r="G3" s="105"/>
      <c r="H3" s="44"/>
      <c r="I3" s="44"/>
      <c r="J3" s="44"/>
      <c r="K3" s="105"/>
    </row>
    <row r="4" ht="16.5">
      <c r="A4" s="555" t="s">
        <v>273</v>
      </c>
    </row>
    <row r="5" spans="1:11" ht="15" customHeight="1">
      <c r="A5" s="556"/>
      <c r="B5" s="477"/>
      <c r="C5" s="543"/>
      <c r="D5" s="543"/>
      <c r="E5" s="543"/>
      <c r="F5" s="557"/>
      <c r="G5" s="543"/>
      <c r="H5" s="543"/>
      <c r="I5" s="543"/>
      <c r="J5" s="543"/>
      <c r="K5" s="74"/>
    </row>
    <row r="6" spans="1:12" ht="15" customHeight="1">
      <c r="A6" s="60"/>
      <c r="B6" s="60"/>
      <c r="C6" s="566">
        <v>1998</v>
      </c>
      <c r="D6" s="568">
        <v>1999</v>
      </c>
      <c r="E6" s="568">
        <v>2000</v>
      </c>
      <c r="F6" s="408">
        <v>2001</v>
      </c>
      <c r="G6" s="38">
        <v>2000</v>
      </c>
      <c r="H6" s="38">
        <v>2000</v>
      </c>
      <c r="I6" s="38">
        <v>2000</v>
      </c>
      <c r="J6" s="38">
        <v>2001</v>
      </c>
      <c r="K6" s="38">
        <v>2001</v>
      </c>
      <c r="L6" s="74"/>
    </row>
    <row r="7" spans="1:12" ht="15" customHeight="1">
      <c r="A7" s="63"/>
      <c r="B7" s="63"/>
      <c r="C7" s="572"/>
      <c r="D7" s="573"/>
      <c r="E7" s="573"/>
      <c r="F7" s="65" t="s">
        <v>225</v>
      </c>
      <c r="G7" s="66" t="s">
        <v>226</v>
      </c>
      <c r="H7" s="66" t="s">
        <v>227</v>
      </c>
      <c r="I7" s="66" t="s">
        <v>228</v>
      </c>
      <c r="J7" s="66" t="s">
        <v>229</v>
      </c>
      <c r="K7" s="246" t="s">
        <v>226</v>
      </c>
      <c r="L7" s="63"/>
    </row>
    <row r="8" spans="1:12" ht="15" customHeight="1">
      <c r="A8" s="377"/>
      <c r="B8" s="377"/>
      <c r="C8" s="567"/>
      <c r="D8" s="569"/>
      <c r="E8" s="569"/>
      <c r="F8" s="465" t="s">
        <v>226</v>
      </c>
      <c r="G8" s="69"/>
      <c r="H8" s="69"/>
      <c r="I8" s="69"/>
      <c r="J8" s="69"/>
      <c r="K8" s="69"/>
      <c r="L8" s="74"/>
    </row>
    <row r="9" spans="1:11" s="257" customFormat="1" ht="9.75" customHeight="1">
      <c r="A9" s="467"/>
      <c r="B9" s="558"/>
      <c r="C9" s="245"/>
      <c r="D9" s="245"/>
      <c r="E9" s="245"/>
      <c r="F9" s="244"/>
      <c r="G9" s="245"/>
      <c r="H9" s="245"/>
      <c r="I9" s="245"/>
      <c r="J9" s="245"/>
      <c r="K9" s="245"/>
    </row>
    <row r="10" spans="1:11" ht="15" customHeight="1">
      <c r="A10" s="105" t="s">
        <v>274</v>
      </c>
      <c r="B10" s="75" t="s">
        <v>275</v>
      </c>
      <c r="C10" s="559">
        <v>48094.314</v>
      </c>
      <c r="D10" s="559">
        <v>47989.623</v>
      </c>
      <c r="E10" s="559">
        <v>48846.212</v>
      </c>
      <c r="F10" s="559">
        <v>22994</v>
      </c>
      <c r="G10" s="559">
        <v>11576.814</v>
      </c>
      <c r="H10" s="559">
        <v>12982.511</v>
      </c>
      <c r="I10" s="559">
        <v>12599.433</v>
      </c>
      <c r="J10" s="559">
        <v>11380.269</v>
      </c>
      <c r="K10" s="559">
        <v>11613</v>
      </c>
    </row>
    <row r="11" spans="1:11" ht="15" customHeight="1">
      <c r="A11" s="105"/>
      <c r="B11" s="75" t="s">
        <v>233</v>
      </c>
      <c r="C11" s="253">
        <v>3.1</v>
      </c>
      <c r="D11" s="105">
        <v>-0.2</v>
      </c>
      <c r="E11" s="105">
        <v>1.8</v>
      </c>
      <c r="F11" s="105">
        <v>-1.2</v>
      </c>
      <c r="G11" s="105">
        <v>2.6</v>
      </c>
      <c r="H11" s="105">
        <v>0.4</v>
      </c>
      <c r="I11" s="105">
        <v>2.6</v>
      </c>
      <c r="J11" s="105">
        <v>-2.6</v>
      </c>
      <c r="K11" s="105">
        <v>0.3</v>
      </c>
    </row>
    <row r="12" spans="1:11" ht="7.5" customHeight="1">
      <c r="A12" s="105"/>
      <c r="B12" s="76"/>
      <c r="C12" s="249"/>
      <c r="D12" s="56"/>
      <c r="E12" s="56"/>
      <c r="F12" s="56"/>
      <c r="G12" s="56"/>
      <c r="H12" s="56"/>
      <c r="I12" s="56"/>
      <c r="J12" s="56"/>
      <c r="K12" s="56"/>
    </row>
    <row r="13" spans="1:11" ht="15" customHeight="1">
      <c r="A13" s="128" t="s">
        <v>276</v>
      </c>
      <c r="B13" s="75" t="s">
        <v>277</v>
      </c>
      <c r="C13" s="468">
        <v>1514.7</v>
      </c>
      <c r="D13" s="125">
        <v>1520.6</v>
      </c>
      <c r="E13" s="125">
        <v>1564.6</v>
      </c>
      <c r="F13" s="125">
        <v>733.143</v>
      </c>
      <c r="G13" s="125">
        <v>419.542</v>
      </c>
      <c r="H13" s="125">
        <v>488.314</v>
      </c>
      <c r="I13" s="125">
        <v>359.219</v>
      </c>
      <c r="J13" s="125">
        <v>310.041</v>
      </c>
      <c r="K13" s="125">
        <v>423.102</v>
      </c>
    </row>
    <row r="14" spans="1:11" ht="15" customHeight="1">
      <c r="A14" s="105"/>
      <c r="B14" s="75" t="s">
        <v>233</v>
      </c>
      <c r="C14" s="253">
        <v>7.8</v>
      </c>
      <c r="D14" s="105">
        <v>0.4</v>
      </c>
      <c r="E14" s="105">
        <v>2.9</v>
      </c>
      <c r="F14" s="105">
        <v>2.2</v>
      </c>
      <c r="G14" s="105">
        <v>3.6</v>
      </c>
      <c r="H14" s="105">
        <v>6.3</v>
      </c>
      <c r="I14" s="105">
        <v>0.8</v>
      </c>
      <c r="J14" s="105">
        <v>4.2</v>
      </c>
      <c r="K14" s="105">
        <v>0.8</v>
      </c>
    </row>
    <row r="15" spans="1:11" ht="7.5" customHeight="1">
      <c r="A15" s="105"/>
      <c r="B15" s="76"/>
      <c r="C15" s="249"/>
      <c r="D15" s="56"/>
      <c r="E15" s="56"/>
      <c r="F15" s="56"/>
      <c r="G15" s="56"/>
      <c r="H15" s="56"/>
      <c r="I15" s="56"/>
      <c r="J15" s="56"/>
      <c r="K15" s="56"/>
    </row>
    <row r="16" spans="1:11" ht="15" customHeight="1">
      <c r="A16" s="128" t="s">
        <v>278</v>
      </c>
      <c r="B16" s="75" t="s">
        <v>279</v>
      </c>
      <c r="C16" s="559">
        <v>493130</v>
      </c>
      <c r="D16" s="559">
        <v>475496.298</v>
      </c>
      <c r="E16" s="559">
        <v>506648.067</v>
      </c>
      <c r="F16" s="559">
        <v>245978.333</v>
      </c>
      <c r="G16" s="559">
        <v>128910.018</v>
      </c>
      <c r="H16" s="559">
        <v>143886.33</v>
      </c>
      <c r="I16" s="559">
        <v>122390.716</v>
      </c>
      <c r="J16" s="559">
        <v>113911.947</v>
      </c>
      <c r="K16" s="559">
        <v>132066.386</v>
      </c>
    </row>
    <row r="17" spans="1:11" ht="15" customHeight="1">
      <c r="A17" s="105"/>
      <c r="B17" s="75" t="s">
        <v>233</v>
      </c>
      <c r="C17" s="253">
        <v>7.2</v>
      </c>
      <c r="D17" s="105">
        <v>-3.6</v>
      </c>
      <c r="E17" s="105">
        <v>6.6</v>
      </c>
      <c r="F17" s="105">
        <v>2.3</v>
      </c>
      <c r="G17" s="105">
        <v>6.9</v>
      </c>
      <c r="H17" s="105">
        <v>6.5</v>
      </c>
      <c r="I17" s="105">
        <v>4.9</v>
      </c>
      <c r="J17" s="105">
        <v>2.2</v>
      </c>
      <c r="K17" s="105">
        <v>2.4</v>
      </c>
    </row>
    <row r="18" spans="1:11" ht="7.5" customHeight="1">
      <c r="A18" s="105"/>
      <c r="B18" s="76"/>
      <c r="C18" s="249"/>
      <c r="D18" s="56"/>
      <c r="E18" s="56"/>
      <c r="F18" s="56"/>
      <c r="G18" s="56"/>
      <c r="H18" s="56"/>
      <c r="I18" s="56"/>
      <c r="J18" s="56"/>
      <c r="K18" s="56"/>
    </row>
    <row r="19" spans="1:11" ht="15" customHeight="1">
      <c r="A19" s="128" t="s">
        <v>280</v>
      </c>
      <c r="B19" s="75" t="s">
        <v>248</v>
      </c>
      <c r="C19" s="559">
        <v>22642.344</v>
      </c>
      <c r="D19" s="559">
        <v>24901.875</v>
      </c>
      <c r="E19" s="559">
        <v>24465.959</v>
      </c>
      <c r="F19" s="559">
        <v>12956.577</v>
      </c>
      <c r="G19" s="559">
        <v>5843.916</v>
      </c>
      <c r="H19" s="559">
        <v>5330.138</v>
      </c>
      <c r="I19" s="559">
        <v>6286.234</v>
      </c>
      <c r="J19" s="559">
        <v>6975.261</v>
      </c>
      <c r="K19" s="559">
        <v>5981.316</v>
      </c>
    </row>
    <row r="20" spans="1:11" ht="15" customHeight="1">
      <c r="A20" s="105"/>
      <c r="B20" s="75" t="s">
        <v>233</v>
      </c>
      <c r="C20" s="253">
        <v>5.9</v>
      </c>
      <c r="D20" s="560">
        <v>10</v>
      </c>
      <c r="E20" s="105">
        <v>-1.8</v>
      </c>
      <c r="F20" s="105">
        <v>0.8</v>
      </c>
      <c r="G20" s="105">
        <v>1.9</v>
      </c>
      <c r="H20" s="105">
        <v>0.9</v>
      </c>
      <c r="I20" s="105">
        <v>-9.9</v>
      </c>
      <c r="J20" s="105">
        <v>-0.4</v>
      </c>
      <c r="K20" s="105">
        <v>2.4</v>
      </c>
    </row>
    <row r="21" spans="1:11" ht="7.5" customHeight="1">
      <c r="A21" s="105"/>
      <c r="B21" s="76"/>
      <c r="C21" s="249"/>
      <c r="D21" s="56"/>
      <c r="E21" s="56"/>
      <c r="F21" s="56"/>
      <c r="G21" s="56"/>
      <c r="H21" s="56"/>
      <c r="I21" s="56"/>
      <c r="J21" s="56"/>
      <c r="K21" s="56"/>
    </row>
    <row r="22" spans="1:11" ht="15" customHeight="1">
      <c r="A22" s="128" t="s">
        <v>281</v>
      </c>
      <c r="B22" s="75" t="s">
        <v>248</v>
      </c>
      <c r="C22" s="559">
        <v>126260</v>
      </c>
      <c r="D22" s="559">
        <v>103056</v>
      </c>
      <c r="E22" s="559">
        <v>79997</v>
      </c>
      <c r="F22" s="559">
        <v>42438</v>
      </c>
      <c r="G22" s="559">
        <v>16153</v>
      </c>
      <c r="H22" s="559">
        <v>22935</v>
      </c>
      <c r="I22" s="559">
        <v>23447</v>
      </c>
      <c r="J22" s="559">
        <v>21417</v>
      </c>
      <c r="K22" s="559">
        <v>21021</v>
      </c>
    </row>
    <row r="23" spans="1:11" ht="15" customHeight="1">
      <c r="A23" s="128"/>
      <c r="B23" s="75" t="s">
        <v>233</v>
      </c>
      <c r="C23" s="116">
        <v>-35.62925386831171</v>
      </c>
      <c r="D23" s="116">
        <v>-18.377950261365434</v>
      </c>
      <c r="E23" s="116">
        <v>-22.375213476168295</v>
      </c>
      <c r="F23" s="116">
        <v>26.2</v>
      </c>
      <c r="G23" s="116">
        <v>-35.73758752387015</v>
      </c>
      <c r="H23" s="116">
        <v>-22.556137092689514</v>
      </c>
      <c r="I23" s="116">
        <v>-9.781061218207704</v>
      </c>
      <c r="J23" s="116">
        <v>22.649181078914214</v>
      </c>
      <c r="K23" s="116">
        <v>30.1</v>
      </c>
    </row>
    <row r="24" spans="1:11" ht="9.75" customHeight="1">
      <c r="A24" s="389"/>
      <c r="B24" s="561"/>
      <c r="C24" s="557"/>
      <c r="D24" s="557"/>
      <c r="E24" s="557"/>
      <c r="F24" s="557"/>
      <c r="G24" s="557"/>
      <c r="H24" s="557"/>
      <c r="I24" s="557"/>
      <c r="J24" s="557"/>
      <c r="K24" s="127"/>
    </row>
    <row r="29" spans="1:11" s="44" customFormat="1" ht="16.5" customHeight="1">
      <c r="A29" s="544" t="s">
        <v>282</v>
      </c>
      <c r="B29" s="128"/>
      <c r="C29" s="245"/>
      <c r="D29" s="245"/>
      <c r="E29" s="245"/>
      <c r="F29" s="245"/>
      <c r="G29" s="245"/>
      <c r="H29" s="245"/>
      <c r="I29" s="245"/>
      <c r="J29" s="245"/>
      <c r="K29" s="245"/>
    </row>
    <row r="30" ht="15" customHeight="1"/>
    <row r="31" spans="1:12" ht="15" customHeight="1">
      <c r="A31" s="60"/>
      <c r="B31" s="60"/>
      <c r="C31" s="566">
        <v>1998</v>
      </c>
      <c r="D31" s="568">
        <v>1999</v>
      </c>
      <c r="E31" s="568">
        <v>2000</v>
      </c>
      <c r="F31" s="408">
        <v>2001</v>
      </c>
      <c r="G31" s="38">
        <v>2000</v>
      </c>
      <c r="H31" s="38">
        <v>2000</v>
      </c>
      <c r="I31" s="38">
        <v>2000</v>
      </c>
      <c r="J31" s="38">
        <v>2001</v>
      </c>
      <c r="K31" s="38">
        <v>2001</v>
      </c>
      <c r="L31" s="74"/>
    </row>
    <row r="32" spans="1:12" ht="15" customHeight="1">
      <c r="A32" s="63"/>
      <c r="B32" s="63"/>
      <c r="C32" s="572"/>
      <c r="D32" s="573"/>
      <c r="E32" s="573"/>
      <c r="F32" s="65" t="s">
        <v>225</v>
      </c>
      <c r="G32" s="66" t="s">
        <v>226</v>
      </c>
      <c r="H32" s="66" t="s">
        <v>227</v>
      </c>
      <c r="I32" s="66" t="s">
        <v>228</v>
      </c>
      <c r="J32" s="66" t="s">
        <v>229</v>
      </c>
      <c r="K32" s="246" t="s">
        <v>226</v>
      </c>
      <c r="L32" s="63"/>
    </row>
    <row r="33" spans="1:12" ht="15" customHeight="1">
      <c r="A33" s="377"/>
      <c r="B33" s="377"/>
      <c r="C33" s="567"/>
      <c r="D33" s="569"/>
      <c r="E33" s="569"/>
      <c r="F33" s="465" t="s">
        <v>226</v>
      </c>
      <c r="G33" s="69"/>
      <c r="H33" s="69"/>
      <c r="I33" s="69"/>
      <c r="J33" s="69"/>
      <c r="K33" s="69"/>
      <c r="L33" s="74"/>
    </row>
    <row r="34" spans="1:11" s="257" customFormat="1" ht="9.75" customHeight="1">
      <c r="A34" s="467"/>
      <c r="B34" s="558"/>
      <c r="C34" s="245"/>
      <c r="D34" s="245"/>
      <c r="E34" s="245"/>
      <c r="F34" s="244"/>
      <c r="G34" s="245"/>
      <c r="H34" s="245"/>
      <c r="I34" s="245"/>
      <c r="J34" s="245"/>
      <c r="K34" s="245"/>
    </row>
    <row r="35" spans="1:11" s="257" customFormat="1" ht="15" customHeight="1">
      <c r="A35" s="467" t="s">
        <v>283</v>
      </c>
      <c r="B35" s="75" t="s">
        <v>264</v>
      </c>
      <c r="C35" s="562">
        <v>5668.1</v>
      </c>
      <c r="D35" s="562">
        <v>10337.5</v>
      </c>
      <c r="E35" s="562">
        <v>14587.7</v>
      </c>
      <c r="F35" s="562">
        <v>8609.5</v>
      </c>
      <c r="G35" s="562">
        <v>3328.3</v>
      </c>
      <c r="H35" s="562">
        <v>3805.5</v>
      </c>
      <c r="I35" s="562">
        <v>4155.9</v>
      </c>
      <c r="J35" s="562">
        <v>4273</v>
      </c>
      <c r="K35" s="562">
        <v>4336.6</v>
      </c>
    </row>
    <row r="36" spans="1:11" s="257" customFormat="1" ht="15" customHeight="1">
      <c r="A36" s="467"/>
      <c r="B36" s="75" t="s">
        <v>233</v>
      </c>
      <c r="C36" s="562">
        <v>588</v>
      </c>
      <c r="D36" s="562">
        <v>82.4</v>
      </c>
      <c r="E36" s="562">
        <v>41.1</v>
      </c>
      <c r="F36" s="562">
        <v>29.9</v>
      </c>
      <c r="G36" s="562">
        <v>35.1</v>
      </c>
      <c r="H36" s="562">
        <v>37.9</v>
      </c>
      <c r="I36" s="562">
        <v>39.3</v>
      </c>
      <c r="J36" s="562">
        <v>29.6</v>
      </c>
      <c r="K36" s="562">
        <v>30.3</v>
      </c>
    </row>
    <row r="37" spans="1:11" s="257" customFormat="1" ht="7.5" customHeight="1">
      <c r="A37" s="467"/>
      <c r="B37" s="73"/>
      <c r="C37" s="562"/>
      <c r="D37" s="562"/>
      <c r="E37" s="562"/>
      <c r="F37" s="562"/>
      <c r="G37" s="562"/>
      <c r="H37" s="562"/>
      <c r="I37" s="562"/>
      <c r="J37" s="562"/>
      <c r="K37" s="562"/>
    </row>
    <row r="38" spans="1:11" s="257" customFormat="1" ht="15" customHeight="1">
      <c r="A38" s="128" t="s">
        <v>284</v>
      </c>
      <c r="B38" s="75" t="s">
        <v>264</v>
      </c>
      <c r="C38" s="562">
        <v>767.2</v>
      </c>
      <c r="D38" s="562">
        <v>774.9</v>
      </c>
      <c r="E38" s="562">
        <v>764.8</v>
      </c>
      <c r="F38" s="562">
        <v>373.1</v>
      </c>
      <c r="G38" s="562">
        <v>178.6</v>
      </c>
      <c r="H38" s="562">
        <v>213.2</v>
      </c>
      <c r="I38" s="562">
        <v>197.2</v>
      </c>
      <c r="J38" s="562">
        <v>184.4</v>
      </c>
      <c r="K38" s="562">
        <v>188.6</v>
      </c>
    </row>
    <row r="39" spans="1:11" s="257" customFormat="1" ht="15" customHeight="1">
      <c r="A39" s="128"/>
      <c r="B39" s="75" t="s">
        <v>233</v>
      </c>
      <c r="C39" s="562">
        <v>8.2</v>
      </c>
      <c r="D39" s="562">
        <v>1</v>
      </c>
      <c r="E39" s="562">
        <v>-1.3</v>
      </c>
      <c r="F39" s="562">
        <v>5.2</v>
      </c>
      <c r="G39" s="562">
        <v>-7.7</v>
      </c>
      <c r="H39" s="562">
        <v>4.1</v>
      </c>
      <c r="I39" s="562">
        <v>6</v>
      </c>
      <c r="J39" s="562">
        <v>4.9</v>
      </c>
      <c r="K39" s="562">
        <v>5.6</v>
      </c>
    </row>
    <row r="40" spans="1:11" s="257" customFormat="1" ht="7.5" customHeight="1">
      <c r="A40" s="128"/>
      <c r="B40" s="73"/>
      <c r="C40" s="562"/>
      <c r="D40" s="562"/>
      <c r="E40" s="562"/>
      <c r="F40" s="562"/>
      <c r="G40" s="562"/>
      <c r="H40" s="562"/>
      <c r="I40" s="562"/>
      <c r="J40" s="562"/>
      <c r="K40" s="562"/>
    </row>
    <row r="41" spans="1:11" s="257" customFormat="1" ht="15" customHeight="1">
      <c r="A41" s="128" t="s">
        <v>285</v>
      </c>
      <c r="B41" s="75" t="s">
        <v>264</v>
      </c>
      <c r="C41" s="562">
        <v>4788.7</v>
      </c>
      <c r="D41" s="562">
        <v>9458.3</v>
      </c>
      <c r="E41" s="562">
        <v>13729.1</v>
      </c>
      <c r="F41" s="562">
        <v>8193</v>
      </c>
      <c r="G41" s="562">
        <v>3127.6</v>
      </c>
      <c r="H41" s="562">
        <v>3564.6</v>
      </c>
      <c r="I41" s="562">
        <v>3939.8</v>
      </c>
      <c r="J41" s="562">
        <v>4065.1</v>
      </c>
      <c r="K41" s="562">
        <v>4128</v>
      </c>
    </row>
    <row r="42" spans="1:11" s="257" customFormat="1" ht="15" customHeight="1">
      <c r="A42" s="128"/>
      <c r="B42" s="75" t="s">
        <v>233</v>
      </c>
      <c r="C42" s="562">
        <v>79618.2</v>
      </c>
      <c r="D42" s="562">
        <v>97.5</v>
      </c>
      <c r="E42" s="562">
        <v>45.2</v>
      </c>
      <c r="F42" s="562">
        <v>31.6</v>
      </c>
      <c r="G42" s="562">
        <v>39.3</v>
      </c>
      <c r="H42" s="562">
        <v>41.2</v>
      </c>
      <c r="I42" s="562">
        <v>41.9</v>
      </c>
      <c r="J42" s="562">
        <v>31.3</v>
      </c>
      <c r="K42" s="562">
        <v>32</v>
      </c>
    </row>
    <row r="43" spans="1:11" s="257" customFormat="1" ht="7.5" customHeight="1">
      <c r="A43" s="128"/>
      <c r="B43" s="73"/>
      <c r="C43" s="562"/>
      <c r="D43" s="562"/>
      <c r="E43" s="562"/>
      <c r="F43" s="562"/>
      <c r="G43" s="562"/>
      <c r="H43" s="562"/>
      <c r="I43" s="562"/>
      <c r="J43" s="562"/>
      <c r="K43" s="562"/>
    </row>
    <row r="44" spans="1:11" s="257" customFormat="1" ht="15" customHeight="1">
      <c r="A44" s="128" t="s">
        <v>286</v>
      </c>
      <c r="B44" s="75" t="s">
        <v>264</v>
      </c>
      <c r="C44" s="562">
        <v>112.2</v>
      </c>
      <c r="D44" s="562">
        <v>104.3</v>
      </c>
      <c r="E44" s="562">
        <v>93.7</v>
      </c>
      <c r="F44" s="562">
        <v>43.4</v>
      </c>
      <c r="G44" s="562">
        <v>22.1</v>
      </c>
      <c r="H44" s="562">
        <v>27.7</v>
      </c>
      <c r="I44" s="562">
        <v>18.9</v>
      </c>
      <c r="J44" s="562">
        <v>23.5</v>
      </c>
      <c r="K44" s="562">
        <v>20</v>
      </c>
    </row>
    <row r="45" spans="1:11" s="257" customFormat="1" ht="15" customHeight="1">
      <c r="A45" s="128"/>
      <c r="B45" s="75" t="s">
        <v>233</v>
      </c>
      <c r="C45" s="562">
        <v>3.4</v>
      </c>
      <c r="D45" s="562">
        <v>-7.1</v>
      </c>
      <c r="E45" s="562">
        <v>-10.2</v>
      </c>
      <c r="F45" s="562">
        <v>-7.9</v>
      </c>
      <c r="G45" s="562">
        <v>-11.9</v>
      </c>
      <c r="H45" s="562">
        <v>-11.5</v>
      </c>
      <c r="I45" s="562">
        <v>-10.3</v>
      </c>
      <c r="J45" s="562">
        <v>-6</v>
      </c>
      <c r="K45" s="562">
        <v>-9.9</v>
      </c>
    </row>
    <row r="46" spans="1:11" s="257" customFormat="1" ht="7.5" customHeight="1">
      <c r="A46" s="128"/>
      <c r="B46" s="73"/>
      <c r="C46" s="562"/>
      <c r="D46" s="562"/>
      <c r="E46" s="562"/>
      <c r="F46" s="562"/>
      <c r="G46" s="562"/>
      <c r="H46" s="562"/>
      <c r="I46" s="562"/>
      <c r="J46" s="562"/>
      <c r="K46" s="562"/>
    </row>
    <row r="47" spans="1:11" s="257" customFormat="1" ht="15" customHeight="1">
      <c r="A47" s="467" t="s">
        <v>287</v>
      </c>
      <c r="B47" s="75" t="s">
        <v>264</v>
      </c>
      <c r="C47" s="562">
        <v>104.5</v>
      </c>
      <c r="D47" s="562">
        <v>116.9</v>
      </c>
      <c r="E47" s="562">
        <v>143.8</v>
      </c>
      <c r="F47" s="562">
        <v>94.3</v>
      </c>
      <c r="G47" s="562">
        <v>33.3</v>
      </c>
      <c r="H47" s="562">
        <v>45.7</v>
      </c>
      <c r="I47" s="562">
        <v>37.4</v>
      </c>
      <c r="J47" s="562">
        <v>47.5</v>
      </c>
      <c r="K47" s="562">
        <v>46.8</v>
      </c>
    </row>
    <row r="48" spans="1:11" s="257" customFormat="1" ht="15" customHeight="1">
      <c r="A48" s="467"/>
      <c r="B48" s="75" t="s">
        <v>233</v>
      </c>
      <c r="C48" s="562">
        <v>26</v>
      </c>
      <c r="D48" s="562">
        <v>11.8</v>
      </c>
      <c r="E48" s="562">
        <v>23</v>
      </c>
      <c r="F48" s="562">
        <v>55.2</v>
      </c>
      <c r="G48" s="562">
        <v>30</v>
      </c>
      <c r="H48" s="562">
        <v>38.1</v>
      </c>
      <c r="I48" s="562">
        <v>27.1</v>
      </c>
      <c r="J48" s="562">
        <v>73</v>
      </c>
      <c r="K48" s="562">
        <v>40.6</v>
      </c>
    </row>
    <row r="49" spans="1:11" s="257" customFormat="1" ht="15" customHeight="1">
      <c r="A49" s="563" t="s">
        <v>288</v>
      </c>
      <c r="B49" s="75"/>
      <c r="C49" s="562"/>
      <c r="D49" s="562"/>
      <c r="E49" s="562"/>
      <c r="F49" s="562"/>
      <c r="G49" s="562"/>
      <c r="H49" s="562"/>
      <c r="I49" s="562"/>
      <c r="J49" s="562"/>
      <c r="K49" s="562"/>
    </row>
    <row r="50" spans="1:11" s="257" customFormat="1" ht="15" customHeight="1">
      <c r="A50" s="128" t="s">
        <v>289</v>
      </c>
      <c r="B50" s="75" t="s">
        <v>258</v>
      </c>
      <c r="C50" s="564">
        <v>60742</v>
      </c>
      <c r="D50" s="564">
        <v>80542</v>
      </c>
      <c r="E50" s="564">
        <v>108001</v>
      </c>
      <c r="F50" s="564">
        <v>77868</v>
      </c>
      <c r="G50" s="564">
        <v>24127</v>
      </c>
      <c r="H50" s="564">
        <v>33638</v>
      </c>
      <c r="I50" s="564">
        <v>30245</v>
      </c>
      <c r="J50" s="564">
        <v>39504</v>
      </c>
      <c r="K50" s="564">
        <v>38364</v>
      </c>
    </row>
    <row r="51" spans="1:11" s="257" customFormat="1" ht="15" customHeight="1">
      <c r="A51" s="128"/>
      <c r="B51" s="75" t="s">
        <v>233</v>
      </c>
      <c r="C51" s="562">
        <v>27.4</v>
      </c>
      <c r="D51" s="562">
        <v>32.6</v>
      </c>
      <c r="E51" s="562">
        <v>34.1</v>
      </c>
      <c r="F51" s="562">
        <v>76.5</v>
      </c>
      <c r="G51" s="562">
        <v>41.7</v>
      </c>
      <c r="H51" s="562">
        <v>61.3</v>
      </c>
      <c r="I51" s="562">
        <v>31.4</v>
      </c>
      <c r="J51" s="562">
        <v>97.6</v>
      </c>
      <c r="K51" s="562">
        <v>59</v>
      </c>
    </row>
    <row r="52" spans="1:11" s="257" customFormat="1" ht="7.5" customHeight="1">
      <c r="A52" s="128"/>
      <c r="B52" s="75"/>
      <c r="C52" s="562"/>
      <c r="D52" s="562"/>
      <c r="E52" s="562"/>
      <c r="F52" s="562"/>
      <c r="G52" s="562"/>
      <c r="H52" s="562"/>
      <c r="I52" s="562"/>
      <c r="J52" s="562"/>
      <c r="K52" s="562"/>
    </row>
    <row r="53" spans="1:11" s="257" customFormat="1" ht="15" customHeight="1">
      <c r="A53" s="128" t="s">
        <v>290</v>
      </c>
      <c r="B53" s="75" t="s">
        <v>258</v>
      </c>
      <c r="C53" s="564">
        <v>4809</v>
      </c>
      <c r="D53" s="564">
        <v>6088</v>
      </c>
      <c r="E53" s="564">
        <v>6738</v>
      </c>
      <c r="F53" s="564">
        <v>2141</v>
      </c>
      <c r="G53" s="564">
        <v>2997</v>
      </c>
      <c r="H53" s="564">
        <v>1337</v>
      </c>
      <c r="I53" s="564">
        <v>1186</v>
      </c>
      <c r="J53" s="564">
        <v>970</v>
      </c>
      <c r="K53" s="564">
        <v>1171</v>
      </c>
    </row>
    <row r="54" spans="1:11" s="257" customFormat="1" ht="15" customHeight="1">
      <c r="A54" s="128"/>
      <c r="B54" s="75" t="s">
        <v>233</v>
      </c>
      <c r="C54" s="562">
        <v>3.2</v>
      </c>
      <c r="D54" s="562">
        <v>26.6</v>
      </c>
      <c r="E54" s="562">
        <v>10.7</v>
      </c>
      <c r="F54" s="562">
        <v>-49.2</v>
      </c>
      <c r="G54" s="562">
        <v>77.4</v>
      </c>
      <c r="H54" s="562">
        <v>-38.4</v>
      </c>
      <c r="I54" s="562">
        <v>11.8</v>
      </c>
      <c r="J54" s="562">
        <v>-20.4</v>
      </c>
      <c r="K54" s="562">
        <v>-60.9</v>
      </c>
    </row>
    <row r="55" spans="1:11" s="257" customFormat="1" ht="7.5" customHeight="1">
      <c r="A55" s="128"/>
      <c r="B55" s="75"/>
      <c r="C55" s="562"/>
      <c r="D55" s="562"/>
      <c r="E55" s="562"/>
      <c r="F55" s="562"/>
      <c r="G55" s="562"/>
      <c r="H55" s="562"/>
      <c r="I55" s="562"/>
      <c r="J55" s="562"/>
      <c r="K55" s="562"/>
    </row>
    <row r="56" spans="1:11" s="257" customFormat="1" ht="15" customHeight="1">
      <c r="A56" s="128" t="s">
        <v>291</v>
      </c>
      <c r="B56" s="75" t="s">
        <v>258</v>
      </c>
      <c r="C56" s="564">
        <v>3713</v>
      </c>
      <c r="D56" s="564">
        <v>2461</v>
      </c>
      <c r="E56" s="564">
        <v>3497</v>
      </c>
      <c r="F56" s="564">
        <v>1388</v>
      </c>
      <c r="G56" s="564">
        <v>894</v>
      </c>
      <c r="H56" s="564">
        <v>1679</v>
      </c>
      <c r="I56" s="564">
        <v>621</v>
      </c>
      <c r="J56" s="564">
        <v>551</v>
      </c>
      <c r="K56" s="564">
        <v>837</v>
      </c>
    </row>
    <row r="57" spans="1:11" s="257" customFormat="1" ht="15" customHeight="1">
      <c r="A57" s="128"/>
      <c r="B57" s="75" t="s">
        <v>233</v>
      </c>
      <c r="C57" s="562">
        <v>130.2</v>
      </c>
      <c r="D57" s="562">
        <v>-33.7</v>
      </c>
      <c r="E57" s="562">
        <v>42.1</v>
      </c>
      <c r="F57" s="562">
        <v>16</v>
      </c>
      <c r="G57" s="562">
        <v>15.1</v>
      </c>
      <c r="H57" s="562">
        <v>69.94</v>
      </c>
      <c r="I57" s="562">
        <v>171.2</v>
      </c>
      <c r="J57" s="562">
        <v>81.9</v>
      </c>
      <c r="K57" s="562">
        <v>-6.4</v>
      </c>
    </row>
    <row r="58" spans="1:11" s="257" customFormat="1" ht="7.5" customHeight="1">
      <c r="A58" s="128"/>
      <c r="B58" s="75"/>
      <c r="C58" s="562"/>
      <c r="D58" s="562"/>
      <c r="E58" s="562"/>
      <c r="F58" s="562"/>
      <c r="G58" s="562"/>
      <c r="H58" s="562"/>
      <c r="I58" s="562"/>
      <c r="J58" s="562"/>
      <c r="K58" s="562"/>
    </row>
    <row r="59" spans="1:11" s="257" customFormat="1" ht="15" customHeight="1">
      <c r="A59" s="563" t="s">
        <v>292</v>
      </c>
      <c r="B59" s="75" t="s">
        <v>258</v>
      </c>
      <c r="C59" s="564">
        <v>1705</v>
      </c>
      <c r="D59" s="564">
        <v>2914</v>
      </c>
      <c r="E59" s="564">
        <v>4471</v>
      </c>
      <c r="F59" s="564">
        <v>1698</v>
      </c>
      <c r="G59" s="564">
        <v>814</v>
      </c>
      <c r="H59" s="564">
        <v>1437</v>
      </c>
      <c r="I59" s="564">
        <v>1053</v>
      </c>
      <c r="J59" s="564">
        <v>1097</v>
      </c>
      <c r="K59" s="564">
        <v>601</v>
      </c>
    </row>
    <row r="60" spans="1:11" s="257" customFormat="1" ht="15" customHeight="1">
      <c r="A60" s="128"/>
      <c r="B60" s="75" t="s">
        <v>233</v>
      </c>
      <c r="C60" s="562">
        <v>28.4</v>
      </c>
      <c r="D60" s="562">
        <v>70.9</v>
      </c>
      <c r="E60" s="562">
        <v>53.4</v>
      </c>
      <c r="F60" s="562">
        <v>-14.3</v>
      </c>
      <c r="G60" s="562">
        <v>42.1</v>
      </c>
      <c r="H60" s="562">
        <v>217.2</v>
      </c>
      <c r="I60" s="562">
        <v>30.8</v>
      </c>
      <c r="J60" s="562">
        <v>-6</v>
      </c>
      <c r="K60" s="562">
        <v>-26.2</v>
      </c>
    </row>
    <row r="61" spans="1:11" s="257" customFormat="1" ht="7.5" customHeight="1">
      <c r="A61" s="128"/>
      <c r="B61" s="75"/>
      <c r="C61" s="562"/>
      <c r="D61" s="562"/>
      <c r="E61" s="562"/>
      <c r="F61" s="562"/>
      <c r="G61" s="562"/>
      <c r="H61" s="562"/>
      <c r="I61" s="562"/>
      <c r="J61" s="562"/>
      <c r="K61" s="562"/>
    </row>
    <row r="62" spans="1:11" s="257" customFormat="1" ht="15" customHeight="1">
      <c r="A62" s="128" t="s">
        <v>293</v>
      </c>
      <c r="B62" s="75" t="s">
        <v>258</v>
      </c>
      <c r="C62" s="564">
        <v>21082</v>
      </c>
      <c r="D62" s="564">
        <v>15369</v>
      </c>
      <c r="E62" s="564">
        <v>15642</v>
      </c>
      <c r="F62" s="564">
        <v>9307</v>
      </c>
      <c r="G62" s="564">
        <v>3306</v>
      </c>
      <c r="H62" s="564">
        <v>5328</v>
      </c>
      <c r="I62" s="564">
        <v>3297</v>
      </c>
      <c r="J62" s="564">
        <v>4651</v>
      </c>
      <c r="K62" s="564">
        <v>4656</v>
      </c>
    </row>
    <row r="63" spans="1:11" s="257" customFormat="1" ht="15" customHeight="1">
      <c r="A63" s="128"/>
      <c r="B63" s="75" t="s">
        <v>233</v>
      </c>
      <c r="C63" s="562">
        <v>0.5</v>
      </c>
      <c r="D63" s="562">
        <v>-27.1</v>
      </c>
      <c r="E63" s="562">
        <v>1.8</v>
      </c>
      <c r="F63" s="562">
        <v>32.6</v>
      </c>
      <c r="G63" s="562">
        <v>7.8</v>
      </c>
      <c r="H63" s="562">
        <v>8</v>
      </c>
      <c r="I63" s="562">
        <v>9.2</v>
      </c>
      <c r="J63" s="562">
        <v>25.3</v>
      </c>
      <c r="K63" s="562">
        <v>40.8</v>
      </c>
    </row>
    <row r="64" spans="1:11" s="257" customFormat="1" ht="7.5" customHeight="1">
      <c r="A64" s="128"/>
      <c r="B64" s="75"/>
      <c r="C64" s="562"/>
      <c r="D64" s="562"/>
      <c r="E64" s="562"/>
      <c r="F64" s="562"/>
      <c r="G64" s="562"/>
      <c r="H64" s="562"/>
      <c r="I64" s="562"/>
      <c r="J64" s="562"/>
      <c r="K64" s="562"/>
    </row>
    <row r="65" spans="1:11" s="257" customFormat="1" ht="15" customHeight="1">
      <c r="A65" s="128" t="s">
        <v>294</v>
      </c>
      <c r="B65" s="75" t="s">
        <v>258</v>
      </c>
      <c r="C65" s="564">
        <v>3204</v>
      </c>
      <c r="D65" s="564">
        <v>1388</v>
      </c>
      <c r="E65" s="564">
        <v>716</v>
      </c>
      <c r="F65" s="564">
        <v>531</v>
      </c>
      <c r="G65" s="564">
        <v>112</v>
      </c>
      <c r="H65" s="564">
        <v>350</v>
      </c>
      <c r="I65" s="564">
        <v>99</v>
      </c>
      <c r="J65" s="564">
        <v>178</v>
      </c>
      <c r="K65" s="564">
        <v>353</v>
      </c>
    </row>
    <row r="66" spans="1:11" s="257" customFormat="1" ht="15" customHeight="1">
      <c r="A66" s="128"/>
      <c r="B66" s="75" t="s">
        <v>233</v>
      </c>
      <c r="C66" s="562">
        <v>51.1</v>
      </c>
      <c r="D66" s="562">
        <v>-56.7</v>
      </c>
      <c r="E66" s="562">
        <v>-48.4</v>
      </c>
      <c r="F66" s="562">
        <v>98.9</v>
      </c>
      <c r="G66" s="562">
        <v>-59.3</v>
      </c>
      <c r="H66" s="562">
        <v>-56.3</v>
      </c>
      <c r="I66" s="562">
        <v>-16.8</v>
      </c>
      <c r="J66" s="562">
        <v>14.8</v>
      </c>
      <c r="K66" s="562">
        <v>215.2</v>
      </c>
    </row>
    <row r="67" spans="1:11" s="257" customFormat="1" ht="7.5" customHeight="1">
      <c r="A67" s="128"/>
      <c r="B67" s="75"/>
      <c r="C67" s="562"/>
      <c r="D67" s="562"/>
      <c r="E67" s="562"/>
      <c r="F67" s="562"/>
      <c r="G67" s="562"/>
      <c r="H67" s="562"/>
      <c r="I67" s="562"/>
      <c r="J67" s="562"/>
      <c r="K67" s="562"/>
    </row>
    <row r="68" spans="1:11" s="257" customFormat="1" ht="15" customHeight="1">
      <c r="A68" s="128" t="s">
        <v>295</v>
      </c>
      <c r="B68" s="75" t="s">
        <v>258</v>
      </c>
      <c r="C68" s="564">
        <v>1956</v>
      </c>
      <c r="D68" s="564">
        <v>1693</v>
      </c>
      <c r="E68" s="564">
        <v>2023</v>
      </c>
      <c r="F68" s="564">
        <v>583</v>
      </c>
      <c r="G68" s="564">
        <v>482</v>
      </c>
      <c r="H68" s="564">
        <v>1072</v>
      </c>
      <c r="I68" s="564">
        <v>296</v>
      </c>
      <c r="J68" s="564">
        <v>219</v>
      </c>
      <c r="K68" s="564">
        <v>364</v>
      </c>
    </row>
    <row r="69" spans="1:11" s="257" customFormat="1" ht="15" customHeight="1">
      <c r="A69" s="128"/>
      <c r="B69" s="75" t="s">
        <v>233</v>
      </c>
      <c r="C69" s="562">
        <v>-5</v>
      </c>
      <c r="D69" s="562">
        <v>-13.4</v>
      </c>
      <c r="E69" s="562">
        <v>19.5</v>
      </c>
      <c r="F69" s="562">
        <v>-11</v>
      </c>
      <c r="G69" s="562">
        <v>62.3</v>
      </c>
      <c r="H69" s="562">
        <v>30.3</v>
      </c>
      <c r="I69" s="562">
        <v>63.5</v>
      </c>
      <c r="J69" s="562">
        <v>26.6</v>
      </c>
      <c r="K69" s="562">
        <v>-24.5</v>
      </c>
    </row>
    <row r="70" spans="1:11" s="257" customFormat="1" ht="7.5" customHeight="1">
      <c r="A70" s="128"/>
      <c r="B70" s="75"/>
      <c r="C70" s="562"/>
      <c r="D70" s="562"/>
      <c r="E70" s="562"/>
      <c r="F70" s="562"/>
      <c r="G70" s="562"/>
      <c r="H70" s="562"/>
      <c r="I70" s="562"/>
      <c r="J70" s="562"/>
      <c r="K70" s="562"/>
    </row>
    <row r="71" spans="1:11" s="257" customFormat="1" ht="15" customHeight="1">
      <c r="A71" s="128" t="s">
        <v>296</v>
      </c>
      <c r="B71" s="75" t="s">
        <v>258</v>
      </c>
      <c r="C71" s="564">
        <v>959</v>
      </c>
      <c r="D71" s="564">
        <v>850</v>
      </c>
      <c r="E71" s="564">
        <v>691</v>
      </c>
      <c r="F71" s="564">
        <v>191</v>
      </c>
      <c r="G71" s="564">
        <v>106</v>
      </c>
      <c r="H71" s="564">
        <v>255</v>
      </c>
      <c r="I71" s="564">
        <v>212</v>
      </c>
      <c r="J71" s="564">
        <v>68</v>
      </c>
      <c r="K71" s="564">
        <v>123</v>
      </c>
    </row>
    <row r="72" spans="1:11" s="257" customFormat="1" ht="15" customHeight="1">
      <c r="A72" s="128"/>
      <c r="B72" s="75" t="s">
        <v>233</v>
      </c>
      <c r="C72" s="562">
        <v>24.2</v>
      </c>
      <c r="D72" s="562">
        <v>-11.4</v>
      </c>
      <c r="E72" s="562">
        <v>-18.7</v>
      </c>
      <c r="F72" s="562">
        <v>-14.7</v>
      </c>
      <c r="G72" s="562">
        <v>-52.7</v>
      </c>
      <c r="H72" s="562">
        <v>27.5</v>
      </c>
      <c r="I72" s="562">
        <v>109.9</v>
      </c>
      <c r="J72" s="562">
        <v>-42.4</v>
      </c>
      <c r="K72" s="562">
        <v>16</v>
      </c>
    </row>
    <row r="73" spans="1:11" s="57" customFormat="1" ht="7.5" customHeight="1">
      <c r="A73" s="389"/>
      <c r="B73" s="126"/>
      <c r="C73" s="565"/>
      <c r="D73" s="565"/>
      <c r="E73" s="565"/>
      <c r="F73" s="565"/>
      <c r="G73" s="565"/>
      <c r="H73" s="565"/>
      <c r="I73" s="565"/>
      <c r="J73" s="565"/>
      <c r="K73" s="565"/>
    </row>
  </sheetData>
  <mergeCells count="6">
    <mergeCell ref="C6:C8"/>
    <mergeCell ref="D6:D8"/>
    <mergeCell ref="E6:E8"/>
    <mergeCell ref="C31:C33"/>
    <mergeCell ref="D31:D33"/>
    <mergeCell ref="E31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375" style="24" customWidth="1"/>
    <col min="2" max="2" width="10.875" style="24" customWidth="1"/>
    <col min="3" max="5" width="6.625" style="24" customWidth="1"/>
    <col min="6" max="6" width="7.625" style="24" customWidth="1"/>
    <col min="7" max="11" width="6.625" style="24" customWidth="1"/>
    <col min="12" max="16384" width="9.00390625" style="24" customWidth="1"/>
  </cols>
  <sheetData>
    <row r="1" spans="1:11" s="3" customFormat="1" ht="15" customHeight="1">
      <c r="A1" s="4" t="s">
        <v>428</v>
      </c>
      <c r="B1" s="4"/>
      <c r="C1" s="2"/>
      <c r="G1" s="2"/>
      <c r="K1" s="2"/>
    </row>
    <row r="2" spans="1:11" s="3" customFormat="1" ht="15" customHeight="1">
      <c r="A2" s="4"/>
      <c r="B2" s="4"/>
      <c r="C2" s="2"/>
      <c r="G2" s="2"/>
      <c r="K2" s="2"/>
    </row>
    <row r="3" spans="1:11" s="3" customFormat="1" ht="15" customHeight="1">
      <c r="A3" s="4"/>
      <c r="B3" s="4"/>
      <c r="C3" s="2"/>
      <c r="G3" s="2"/>
      <c r="K3" s="2"/>
    </row>
    <row r="4" spans="1:11" s="3" customFormat="1" ht="15" customHeight="1">
      <c r="A4" s="2" t="s">
        <v>429</v>
      </c>
      <c r="B4" s="2"/>
      <c r="C4" s="2"/>
      <c r="G4" s="2"/>
      <c r="K4" s="2"/>
    </row>
    <row r="5" spans="1:11" s="3" customFormat="1" ht="15" customHeight="1">
      <c r="A5" s="7"/>
      <c r="B5" s="131"/>
      <c r="C5" s="8"/>
      <c r="D5" s="9"/>
      <c r="E5" s="9"/>
      <c r="F5" s="9"/>
      <c r="G5" s="8"/>
      <c r="H5" s="9"/>
      <c r="I5" s="9"/>
      <c r="J5" s="9"/>
      <c r="K5" s="8"/>
    </row>
    <row r="6" spans="1:12" s="14" customFormat="1" ht="16.5" customHeight="1">
      <c r="A6" s="132"/>
      <c r="B6" s="133"/>
      <c r="C6" s="568">
        <v>1998</v>
      </c>
      <c r="D6" s="568">
        <v>1999</v>
      </c>
      <c r="E6" s="568">
        <v>2000</v>
      </c>
      <c r="F6" s="134" t="s">
        <v>430</v>
      </c>
      <c r="G6" s="12">
        <v>2000</v>
      </c>
      <c r="H6" s="12">
        <v>2000</v>
      </c>
      <c r="I6" s="12">
        <v>2000</v>
      </c>
      <c r="J6" s="135" t="s">
        <v>430</v>
      </c>
      <c r="K6" s="135" t="s">
        <v>430</v>
      </c>
      <c r="L6" s="136"/>
    </row>
    <row r="7" spans="1:12" s="14" customFormat="1" ht="16.5" customHeight="1">
      <c r="A7" s="137"/>
      <c r="B7" s="133"/>
      <c r="C7" s="573"/>
      <c r="D7" s="573"/>
      <c r="E7" s="573"/>
      <c r="F7" s="138" t="s">
        <v>431</v>
      </c>
      <c r="G7" s="139" t="s">
        <v>432</v>
      </c>
      <c r="H7" s="139" t="s">
        <v>433</v>
      </c>
      <c r="I7" s="139" t="s">
        <v>434</v>
      </c>
      <c r="J7" s="139" t="s">
        <v>435</v>
      </c>
      <c r="K7" s="140" t="s">
        <v>432</v>
      </c>
      <c r="L7" s="136"/>
    </row>
    <row r="8" spans="1:12" s="14" customFormat="1" ht="16.5" customHeight="1">
      <c r="A8" s="141"/>
      <c r="B8" s="15"/>
      <c r="C8" s="569"/>
      <c r="D8" s="569"/>
      <c r="E8" s="569"/>
      <c r="F8" s="142" t="s">
        <v>432</v>
      </c>
      <c r="G8" s="19"/>
      <c r="H8" s="19"/>
      <c r="I8" s="19"/>
      <c r="J8" s="19"/>
      <c r="K8" s="19"/>
      <c r="L8" s="136"/>
    </row>
    <row r="9" spans="1:11" s="14" customFormat="1" ht="9.75" customHeight="1">
      <c r="A9" s="143"/>
      <c r="B9" s="10"/>
      <c r="C9" s="50"/>
      <c r="D9" s="50"/>
      <c r="E9" s="50"/>
      <c r="F9" s="144"/>
      <c r="G9" s="139"/>
      <c r="H9" s="139"/>
      <c r="I9" s="139"/>
      <c r="J9" s="139"/>
      <c r="K9" s="139"/>
    </row>
    <row r="10" spans="1:11" ht="16.5">
      <c r="A10" s="145" t="s">
        <v>436</v>
      </c>
      <c r="B10" s="26" t="s">
        <v>437</v>
      </c>
      <c r="C10" s="146">
        <v>15596</v>
      </c>
      <c r="D10" s="146">
        <v>16300</v>
      </c>
      <c r="E10" s="146">
        <v>18098</v>
      </c>
      <c r="F10" s="146">
        <v>9608</v>
      </c>
      <c r="G10" s="146">
        <v>4961</v>
      </c>
      <c r="H10" s="146">
        <v>4717</v>
      </c>
      <c r="I10" s="146">
        <v>4891</v>
      </c>
      <c r="J10" s="146">
        <v>4304</v>
      </c>
      <c r="K10" s="146">
        <v>5304</v>
      </c>
    </row>
    <row r="11" spans="1:11" s="150" customFormat="1" ht="16.5">
      <c r="A11" s="147"/>
      <c r="B11" s="148" t="s">
        <v>438</v>
      </c>
      <c r="C11" s="149">
        <v>-6.1</v>
      </c>
      <c r="D11" s="149">
        <v>4.5</v>
      </c>
      <c r="E11" s="149">
        <v>11</v>
      </c>
      <c r="F11" s="30">
        <v>13.2</v>
      </c>
      <c r="G11" s="149">
        <v>14.4</v>
      </c>
      <c r="H11" s="149">
        <v>19.6</v>
      </c>
      <c r="I11" s="149">
        <v>15.6</v>
      </c>
      <c r="J11" s="30">
        <v>22</v>
      </c>
      <c r="K11" s="30">
        <v>6.9</v>
      </c>
    </row>
    <row r="12" spans="1:11" ht="16.5">
      <c r="A12" s="151"/>
      <c r="B12" s="21"/>
      <c r="C12" s="152"/>
      <c r="D12" s="152"/>
      <c r="E12" s="152"/>
      <c r="F12" s="153"/>
      <c r="G12" s="152"/>
      <c r="H12" s="152"/>
      <c r="I12" s="152"/>
      <c r="J12" s="153"/>
      <c r="K12" s="153"/>
    </row>
    <row r="13" spans="1:11" ht="16.5">
      <c r="A13" s="145" t="s">
        <v>439</v>
      </c>
      <c r="B13" s="26" t="s">
        <v>437</v>
      </c>
      <c r="C13" s="146">
        <v>17084</v>
      </c>
      <c r="D13" s="146">
        <v>17580</v>
      </c>
      <c r="E13" s="146">
        <v>20380</v>
      </c>
      <c r="F13" s="146">
        <v>8509</v>
      </c>
      <c r="G13" s="146">
        <v>5252</v>
      </c>
      <c r="H13" s="146">
        <v>5995</v>
      </c>
      <c r="I13" s="146">
        <v>5111</v>
      </c>
      <c r="J13" s="146">
        <v>3637</v>
      </c>
      <c r="K13" s="146">
        <v>4872</v>
      </c>
    </row>
    <row r="14" spans="1:11" s="150" customFormat="1" ht="16.5">
      <c r="A14" s="147"/>
      <c r="B14" s="148" t="s">
        <v>438</v>
      </c>
      <c r="C14" s="149">
        <v>-0.3</v>
      </c>
      <c r="D14" s="149">
        <v>2.9</v>
      </c>
      <c r="E14" s="149">
        <v>15.9</v>
      </c>
      <c r="F14" s="30">
        <v>-8.3</v>
      </c>
      <c r="G14" s="149">
        <v>18.2</v>
      </c>
      <c r="H14" s="149">
        <v>16.3</v>
      </c>
      <c r="I14" s="149">
        <v>19.4</v>
      </c>
      <c r="J14" s="30">
        <v>-9.6</v>
      </c>
      <c r="K14" s="30">
        <v>-7.2</v>
      </c>
    </row>
    <row r="15" spans="1:11" ht="16.5">
      <c r="A15" s="151"/>
      <c r="B15" s="21"/>
      <c r="C15" s="152"/>
      <c r="D15" s="152"/>
      <c r="E15" s="152"/>
      <c r="F15" s="153"/>
      <c r="G15" s="152"/>
      <c r="H15" s="152"/>
      <c r="I15" s="152"/>
      <c r="J15" s="153"/>
      <c r="K15" s="153"/>
    </row>
    <row r="16" spans="1:11" ht="16.5">
      <c r="A16" s="151" t="s">
        <v>440</v>
      </c>
      <c r="B16" s="26" t="s">
        <v>437</v>
      </c>
      <c r="C16" s="146">
        <v>14904</v>
      </c>
      <c r="D16" s="146">
        <v>15044</v>
      </c>
      <c r="E16" s="146">
        <v>17081</v>
      </c>
      <c r="F16" s="146">
        <v>6886</v>
      </c>
      <c r="G16" s="146">
        <v>4340</v>
      </c>
      <c r="H16" s="146">
        <v>5111</v>
      </c>
      <c r="I16" s="146">
        <v>4207</v>
      </c>
      <c r="J16" s="146">
        <v>2906</v>
      </c>
      <c r="K16" s="146">
        <v>3981</v>
      </c>
    </row>
    <row r="17" spans="1:11" s="150" customFormat="1" ht="16.5">
      <c r="A17" s="147"/>
      <c r="B17" s="148" t="s">
        <v>438</v>
      </c>
      <c r="C17" s="149">
        <v>-1</v>
      </c>
      <c r="D17" s="149">
        <v>0.9</v>
      </c>
      <c r="E17" s="149">
        <v>13.5</v>
      </c>
      <c r="F17" s="30">
        <v>-11.3</v>
      </c>
      <c r="G17" s="149">
        <v>18</v>
      </c>
      <c r="H17" s="149">
        <v>13.1</v>
      </c>
      <c r="I17" s="149">
        <v>13.6</v>
      </c>
      <c r="J17" s="30">
        <v>-15.1</v>
      </c>
      <c r="K17" s="30">
        <v>-8.3</v>
      </c>
    </row>
    <row r="18" spans="1:11" ht="16.5">
      <c r="A18" s="151"/>
      <c r="B18" s="21"/>
      <c r="C18" s="154"/>
      <c r="D18" s="154"/>
      <c r="E18" s="154"/>
      <c r="F18" s="155"/>
      <c r="G18" s="154"/>
      <c r="H18" s="154"/>
      <c r="I18" s="154"/>
      <c r="J18" s="155"/>
      <c r="K18" s="155"/>
    </row>
    <row r="19" spans="1:11" ht="16.5">
      <c r="A19" s="151" t="s">
        <v>297</v>
      </c>
      <c r="B19" s="26" t="s">
        <v>437</v>
      </c>
      <c r="C19" s="146">
        <v>2180</v>
      </c>
      <c r="D19" s="146">
        <v>2536</v>
      </c>
      <c r="E19" s="146">
        <v>3300</v>
      </c>
      <c r="F19" s="146">
        <v>1623</v>
      </c>
      <c r="G19" s="146">
        <v>912</v>
      </c>
      <c r="H19" s="146">
        <v>883</v>
      </c>
      <c r="I19" s="146">
        <v>904</v>
      </c>
      <c r="J19" s="146">
        <v>731</v>
      </c>
      <c r="K19" s="146">
        <v>891</v>
      </c>
    </row>
    <row r="20" spans="1:11" s="150" customFormat="1" ht="16.5">
      <c r="A20" s="147"/>
      <c r="B20" s="148" t="s">
        <v>438</v>
      </c>
      <c r="C20" s="149">
        <v>4.7</v>
      </c>
      <c r="D20" s="149">
        <v>16.3</v>
      </c>
      <c r="E20" s="149">
        <v>30.1</v>
      </c>
      <c r="F20" s="30">
        <v>7.3</v>
      </c>
      <c r="G20" s="149">
        <v>18.8</v>
      </c>
      <c r="H20" s="149">
        <v>39.1</v>
      </c>
      <c r="I20" s="149">
        <v>55.8</v>
      </c>
      <c r="J20" s="30">
        <v>21.8</v>
      </c>
      <c r="K20" s="30">
        <v>-2.2</v>
      </c>
    </row>
    <row r="21" spans="1:11" ht="16.5">
      <c r="A21" s="151"/>
      <c r="B21" s="21"/>
      <c r="C21" s="154"/>
      <c r="D21" s="154"/>
      <c r="E21" s="154"/>
      <c r="F21" s="155"/>
      <c r="G21" s="154"/>
      <c r="H21" s="154"/>
      <c r="I21" s="154"/>
      <c r="J21" s="155"/>
      <c r="K21" s="155"/>
    </row>
    <row r="22" spans="1:11" ht="16.5">
      <c r="A22" s="145" t="s">
        <v>441</v>
      </c>
      <c r="B22" s="26" t="s">
        <v>437</v>
      </c>
      <c r="C22" s="146">
        <v>1487</v>
      </c>
      <c r="D22" s="146">
        <v>1280</v>
      </c>
      <c r="E22" s="146">
        <v>2283</v>
      </c>
      <c r="F22" s="146">
        <v>-1099</v>
      </c>
      <c r="G22" s="146">
        <v>291</v>
      </c>
      <c r="H22" s="146">
        <v>1277</v>
      </c>
      <c r="I22" s="146">
        <v>220</v>
      </c>
      <c r="J22" s="146">
        <v>-676</v>
      </c>
      <c r="K22" s="146">
        <v>-432</v>
      </c>
    </row>
    <row r="23" spans="1:11" s="150" customFormat="1" ht="16.5">
      <c r="A23" s="147"/>
      <c r="B23" s="148" t="s">
        <v>438</v>
      </c>
      <c r="C23" s="149">
        <v>182.8</v>
      </c>
      <c r="D23" s="149">
        <v>-13.9</v>
      </c>
      <c r="E23" s="149">
        <v>78.4</v>
      </c>
      <c r="F23" s="30">
        <v>-240</v>
      </c>
      <c r="G23" s="149">
        <v>167.1</v>
      </c>
      <c r="H23" s="149">
        <v>5.7</v>
      </c>
      <c r="I23" s="149">
        <v>318.7</v>
      </c>
      <c r="J23" s="30">
        <v>-235</v>
      </c>
      <c r="K23" s="30">
        <v>-248.5</v>
      </c>
    </row>
    <row r="24" spans="1:11" ht="16.5">
      <c r="A24" s="151"/>
      <c r="B24" s="21"/>
      <c r="C24" s="154"/>
      <c r="D24" s="154"/>
      <c r="E24" s="154"/>
      <c r="F24" s="155"/>
      <c r="G24" s="154"/>
      <c r="H24" s="154"/>
      <c r="I24" s="154"/>
      <c r="J24" s="155"/>
      <c r="K24" s="155"/>
    </row>
    <row r="25" spans="1:11" ht="16.5">
      <c r="A25" s="145" t="s">
        <v>442</v>
      </c>
      <c r="B25" s="21"/>
      <c r="C25" s="149">
        <v>109.5</v>
      </c>
      <c r="D25" s="149">
        <v>107.9</v>
      </c>
      <c r="E25" s="149">
        <v>112.6</v>
      </c>
      <c r="F25" s="30">
        <v>88.6</v>
      </c>
      <c r="G25" s="149">
        <v>105.9</v>
      </c>
      <c r="H25" s="149">
        <v>127.1</v>
      </c>
      <c r="I25" s="149">
        <v>104.5</v>
      </c>
      <c r="J25" s="30">
        <v>84.5</v>
      </c>
      <c r="K25" s="30">
        <v>91.8</v>
      </c>
    </row>
    <row r="26" spans="1:11" ht="16.5">
      <c r="A26" s="151"/>
      <c r="B26" s="21"/>
      <c r="C26" s="156"/>
      <c r="D26" s="156"/>
      <c r="E26" s="156"/>
      <c r="F26" s="157"/>
      <c r="G26" s="156"/>
      <c r="H26" s="156"/>
      <c r="I26" s="156"/>
      <c r="J26" s="157"/>
      <c r="K26" s="157"/>
    </row>
    <row r="27" spans="1:11" ht="16.5">
      <c r="A27" s="145" t="s">
        <v>443</v>
      </c>
      <c r="B27" s="21"/>
      <c r="C27" s="156"/>
      <c r="D27" s="156"/>
      <c r="E27" s="156"/>
      <c r="F27" s="157"/>
      <c r="G27" s="156"/>
      <c r="H27" s="156"/>
      <c r="I27" s="156"/>
      <c r="J27" s="157"/>
      <c r="K27" s="157"/>
    </row>
    <row r="28" spans="1:11" ht="3.75" customHeight="1">
      <c r="A28" s="145"/>
      <c r="B28" s="21"/>
      <c r="C28" s="156"/>
      <c r="D28" s="156"/>
      <c r="E28" s="156"/>
      <c r="F28" s="157"/>
      <c r="G28" s="156"/>
      <c r="H28" s="156"/>
      <c r="I28" s="156"/>
      <c r="J28" s="157"/>
      <c r="K28" s="157"/>
    </row>
    <row r="29" spans="1:11" ht="16.5">
      <c r="A29" s="151" t="s">
        <v>444</v>
      </c>
      <c r="B29" s="21"/>
      <c r="C29" s="156"/>
      <c r="D29" s="156"/>
      <c r="E29" s="156"/>
      <c r="F29" s="157"/>
      <c r="G29" s="156"/>
      <c r="H29" s="156"/>
      <c r="I29" s="156"/>
      <c r="J29" s="157"/>
      <c r="K29" s="157"/>
    </row>
    <row r="30" spans="1:11" ht="16.5">
      <c r="A30" s="151" t="s">
        <v>445</v>
      </c>
      <c r="B30" s="26" t="s">
        <v>446</v>
      </c>
      <c r="C30" s="149">
        <v>97.9</v>
      </c>
      <c r="D30" s="149">
        <v>98.7</v>
      </c>
      <c r="E30" s="149">
        <v>112.9</v>
      </c>
      <c r="F30" s="30">
        <v>120.6</v>
      </c>
      <c r="G30" s="149">
        <v>121.7</v>
      </c>
      <c r="H30" s="149">
        <v>118.4</v>
      </c>
      <c r="I30" s="149">
        <v>122.8</v>
      </c>
      <c r="J30" s="30">
        <v>108</v>
      </c>
      <c r="K30" s="30">
        <v>133.2</v>
      </c>
    </row>
    <row r="31" spans="1:11" ht="16.5">
      <c r="A31" s="151"/>
      <c r="B31" s="26" t="s">
        <v>438</v>
      </c>
      <c r="C31" s="149">
        <v>-6</v>
      </c>
      <c r="D31" s="149">
        <v>0.8</v>
      </c>
      <c r="E31" s="149">
        <v>14.4</v>
      </c>
      <c r="F31" s="30">
        <v>14.7</v>
      </c>
      <c r="G31" s="149">
        <v>11.8</v>
      </c>
      <c r="H31" s="149">
        <v>19.6</v>
      </c>
      <c r="I31" s="149">
        <v>15.6</v>
      </c>
      <c r="J31" s="30">
        <v>21.9</v>
      </c>
      <c r="K31" s="30">
        <v>9.4</v>
      </c>
    </row>
    <row r="32" spans="1:11" ht="16.5">
      <c r="A32" s="151"/>
      <c r="B32" s="21"/>
      <c r="C32" s="149"/>
      <c r="D32" s="149"/>
      <c r="E32" s="149"/>
      <c r="F32" s="30"/>
      <c r="G32" s="149"/>
      <c r="H32" s="149"/>
      <c r="I32" s="149"/>
      <c r="J32" s="30"/>
      <c r="K32" s="30"/>
    </row>
    <row r="33" spans="1:11" ht="16.5">
      <c r="A33" s="151" t="s">
        <v>447</v>
      </c>
      <c r="B33" s="26" t="s">
        <v>446</v>
      </c>
      <c r="C33" s="149">
        <v>98.5</v>
      </c>
      <c r="D33" s="149">
        <v>96.3</v>
      </c>
      <c r="E33" s="149">
        <v>100.7</v>
      </c>
      <c r="F33" s="30">
        <v>99.1</v>
      </c>
      <c r="G33" s="149">
        <v>99.7</v>
      </c>
      <c r="H33" s="149">
        <v>100.3</v>
      </c>
      <c r="I33" s="149">
        <v>104.8</v>
      </c>
      <c r="J33" s="30">
        <v>99.7</v>
      </c>
      <c r="K33" s="30">
        <v>98.5</v>
      </c>
    </row>
    <row r="34" spans="1:11" ht="16.5">
      <c r="A34" s="151"/>
      <c r="B34" s="26" t="s">
        <v>438</v>
      </c>
      <c r="C34" s="149">
        <v>-5.9</v>
      </c>
      <c r="D34" s="149">
        <v>-2.2</v>
      </c>
      <c r="E34" s="149">
        <v>4.6</v>
      </c>
      <c r="F34" s="30">
        <v>0.2</v>
      </c>
      <c r="G34" s="149">
        <v>5.6</v>
      </c>
      <c r="H34" s="149">
        <v>4</v>
      </c>
      <c r="I34" s="149">
        <v>4.8</v>
      </c>
      <c r="J34" s="30">
        <v>1.6</v>
      </c>
      <c r="K34" s="30">
        <v>-1.2</v>
      </c>
    </row>
    <row r="35" spans="1:11" ht="16.5">
      <c r="A35" s="151"/>
      <c r="B35" s="21"/>
      <c r="C35" s="149"/>
      <c r="D35" s="149"/>
      <c r="E35" s="149"/>
      <c r="F35" s="30"/>
      <c r="G35" s="149"/>
      <c r="H35" s="149"/>
      <c r="I35" s="149"/>
      <c r="J35" s="30"/>
      <c r="K35" s="30"/>
    </row>
    <row r="36" spans="1:11" ht="16.5">
      <c r="A36" s="151" t="s">
        <v>448</v>
      </c>
      <c r="B36" s="26" t="s">
        <v>446</v>
      </c>
      <c r="C36" s="149">
        <v>99.4</v>
      </c>
      <c r="D36" s="149">
        <v>102.5</v>
      </c>
      <c r="E36" s="149">
        <v>112.1</v>
      </c>
      <c r="F36" s="30">
        <v>121.6</v>
      </c>
      <c r="G36" s="149">
        <v>122</v>
      </c>
      <c r="H36" s="149">
        <v>118.1</v>
      </c>
      <c r="I36" s="149">
        <v>117.2</v>
      </c>
      <c r="J36" s="30">
        <v>108.2</v>
      </c>
      <c r="K36" s="30">
        <v>135.2</v>
      </c>
    </row>
    <row r="37" spans="1:11" ht="16.5">
      <c r="A37" s="151"/>
      <c r="B37" s="26" t="s">
        <v>438</v>
      </c>
      <c r="C37" s="149">
        <v>-0.2</v>
      </c>
      <c r="D37" s="149">
        <v>3.1</v>
      </c>
      <c r="E37" s="149">
        <v>9.4</v>
      </c>
      <c r="F37" s="30">
        <v>14.4</v>
      </c>
      <c r="G37" s="149">
        <v>5.8</v>
      </c>
      <c r="H37" s="149">
        <v>15</v>
      </c>
      <c r="I37" s="149">
        <v>10.4</v>
      </c>
      <c r="J37" s="30">
        <v>19.8</v>
      </c>
      <c r="K37" s="30">
        <v>10.8</v>
      </c>
    </row>
    <row r="38" spans="1:11" ht="16.5">
      <c r="A38" s="151"/>
      <c r="B38" s="21"/>
      <c r="C38" s="149"/>
      <c r="D38" s="149"/>
      <c r="E38" s="149"/>
      <c r="F38" s="30"/>
      <c r="G38" s="149"/>
      <c r="H38" s="149"/>
      <c r="I38" s="149"/>
      <c r="J38" s="30"/>
      <c r="K38" s="30"/>
    </row>
    <row r="39" spans="1:11" ht="16.5">
      <c r="A39" s="151" t="s">
        <v>449</v>
      </c>
      <c r="B39" s="21"/>
      <c r="C39" s="149"/>
      <c r="D39" s="149"/>
      <c r="E39" s="149"/>
      <c r="F39" s="30"/>
      <c r="G39" s="149"/>
      <c r="H39" s="149"/>
      <c r="I39" s="149"/>
      <c r="J39" s="30"/>
      <c r="K39" s="30"/>
    </row>
    <row r="40" spans="1:11" ht="16.5">
      <c r="A40" s="151" t="s">
        <v>445</v>
      </c>
      <c r="B40" s="26" t="s">
        <v>446</v>
      </c>
      <c r="C40" s="149">
        <v>107.5</v>
      </c>
      <c r="D40" s="149">
        <v>110.6</v>
      </c>
      <c r="E40" s="149">
        <v>128.2</v>
      </c>
      <c r="F40" s="30">
        <v>106.9</v>
      </c>
      <c r="G40" s="149">
        <v>132.1</v>
      </c>
      <c r="H40" s="149">
        <v>150.8</v>
      </c>
      <c r="I40" s="149">
        <v>128.6</v>
      </c>
      <c r="J40" s="30">
        <v>91.2</v>
      </c>
      <c r="K40" s="30">
        <v>122.6</v>
      </c>
    </row>
    <row r="41" spans="1:11" ht="16.5">
      <c r="A41" s="151"/>
      <c r="B41" s="26" t="s">
        <v>438</v>
      </c>
      <c r="C41" s="149">
        <v>-0.2</v>
      </c>
      <c r="D41" s="149">
        <v>2.9</v>
      </c>
      <c r="E41" s="149">
        <v>15.9</v>
      </c>
      <c r="F41" s="30">
        <v>-8.4</v>
      </c>
      <c r="G41" s="149">
        <v>18.2</v>
      </c>
      <c r="H41" s="149">
        <v>16.4</v>
      </c>
      <c r="I41" s="149">
        <v>19.4</v>
      </c>
      <c r="J41" s="30">
        <v>-9.9</v>
      </c>
      <c r="K41" s="30">
        <v>-7.2</v>
      </c>
    </row>
    <row r="42" spans="1:11" ht="16.5">
      <c r="A42" s="151"/>
      <c r="B42" s="21"/>
      <c r="C42" s="149"/>
      <c r="D42" s="149"/>
      <c r="E42" s="149"/>
      <c r="F42" s="30"/>
      <c r="G42" s="149"/>
      <c r="H42" s="149"/>
      <c r="I42" s="149"/>
      <c r="J42" s="30"/>
      <c r="K42" s="30"/>
    </row>
    <row r="43" spans="1:11" ht="16.5">
      <c r="A43" s="151" t="s">
        <v>447</v>
      </c>
      <c r="B43" s="26" t="s">
        <v>446</v>
      </c>
      <c r="C43" s="149">
        <v>100.6</v>
      </c>
      <c r="D43" s="149">
        <v>99.3</v>
      </c>
      <c r="E43" s="149">
        <v>101.4</v>
      </c>
      <c r="F43" s="30">
        <v>97.5</v>
      </c>
      <c r="G43" s="149">
        <v>101.2</v>
      </c>
      <c r="H43" s="149">
        <v>96.4</v>
      </c>
      <c r="I43" s="149">
        <v>101</v>
      </c>
      <c r="J43" s="30">
        <v>101.3</v>
      </c>
      <c r="K43" s="30">
        <v>93.8</v>
      </c>
    </row>
    <row r="44" spans="1:11" ht="16.5">
      <c r="A44" s="151"/>
      <c r="B44" s="26" t="s">
        <v>438</v>
      </c>
      <c r="C44" s="149">
        <v>-2.8</v>
      </c>
      <c r="D44" s="149">
        <v>-1.3</v>
      </c>
      <c r="E44" s="149">
        <v>2.1</v>
      </c>
      <c r="F44" s="30">
        <v>-6.3</v>
      </c>
      <c r="G44" s="149">
        <v>5.3</v>
      </c>
      <c r="H44" s="149">
        <v>-2</v>
      </c>
      <c r="I44" s="149">
        <v>-1.5</v>
      </c>
      <c r="J44" s="30">
        <v>-5.3</v>
      </c>
      <c r="K44" s="30">
        <v>-7.3</v>
      </c>
    </row>
    <row r="45" spans="1:11" ht="16.5">
      <c r="A45" s="151"/>
      <c r="B45" s="21"/>
      <c r="C45" s="149"/>
      <c r="D45" s="149"/>
      <c r="E45" s="149"/>
      <c r="F45" s="30"/>
      <c r="G45" s="149"/>
      <c r="H45" s="149"/>
      <c r="I45" s="149"/>
      <c r="J45" s="30"/>
      <c r="K45" s="30"/>
    </row>
    <row r="46" spans="1:11" ht="16.5">
      <c r="A46" s="151" t="s">
        <v>448</v>
      </c>
      <c r="B46" s="26" t="s">
        <v>446</v>
      </c>
      <c r="C46" s="149">
        <v>106.8</v>
      </c>
      <c r="D46" s="149">
        <v>111.4</v>
      </c>
      <c r="E46" s="149">
        <v>126.4</v>
      </c>
      <c r="F46" s="30">
        <v>109.6</v>
      </c>
      <c r="G46" s="149">
        <v>130.6</v>
      </c>
      <c r="H46" s="149">
        <v>156.4</v>
      </c>
      <c r="I46" s="149">
        <v>127.3</v>
      </c>
      <c r="J46" s="30">
        <v>90.1</v>
      </c>
      <c r="K46" s="30">
        <v>130.7</v>
      </c>
    </row>
    <row r="47" spans="1:11" ht="16.5">
      <c r="A47" s="151"/>
      <c r="B47" s="26" t="s">
        <v>438</v>
      </c>
      <c r="C47" s="149">
        <v>2.6</v>
      </c>
      <c r="D47" s="149">
        <v>4.3</v>
      </c>
      <c r="E47" s="149">
        <v>13.5</v>
      </c>
      <c r="F47" s="30">
        <v>-2.2</v>
      </c>
      <c r="G47" s="149">
        <v>12.2</v>
      </c>
      <c r="H47" s="149">
        <v>18.7</v>
      </c>
      <c r="I47" s="149">
        <v>21.1</v>
      </c>
      <c r="J47" s="30">
        <v>-4.8</v>
      </c>
      <c r="K47" s="30">
        <v>0.1</v>
      </c>
    </row>
    <row r="48" spans="1:11" ht="16.5">
      <c r="A48" s="151"/>
      <c r="B48" s="21"/>
      <c r="C48" s="149"/>
      <c r="D48" s="149"/>
      <c r="E48" s="149"/>
      <c r="F48" s="30"/>
      <c r="G48" s="149"/>
      <c r="H48" s="149"/>
      <c r="I48" s="149"/>
      <c r="J48" s="30"/>
      <c r="K48" s="30"/>
    </row>
    <row r="49" spans="1:11" ht="16.5">
      <c r="A49" s="151" t="s">
        <v>450</v>
      </c>
      <c r="B49" s="26" t="s">
        <v>446</v>
      </c>
      <c r="C49" s="149">
        <v>102.2</v>
      </c>
      <c r="D49" s="149">
        <v>103.1</v>
      </c>
      <c r="E49" s="149">
        <v>100.7</v>
      </c>
      <c r="F49" s="30">
        <v>98.4</v>
      </c>
      <c r="G49" s="149">
        <v>101.5</v>
      </c>
      <c r="H49" s="149">
        <v>96.1</v>
      </c>
      <c r="I49" s="149">
        <v>96.4</v>
      </c>
      <c r="J49" s="30">
        <v>101.6</v>
      </c>
      <c r="K49" s="30">
        <v>95.2</v>
      </c>
    </row>
    <row r="50" spans="2:11" ht="16.5">
      <c r="B50" s="26" t="s">
        <v>438</v>
      </c>
      <c r="C50" s="149">
        <v>3.3</v>
      </c>
      <c r="D50" s="149">
        <v>0.9</v>
      </c>
      <c r="E50" s="149">
        <v>-2.3</v>
      </c>
      <c r="F50" s="30">
        <v>-6.6</v>
      </c>
      <c r="G50" s="149">
        <v>-0.2</v>
      </c>
      <c r="H50" s="149">
        <v>-5.8</v>
      </c>
      <c r="I50" s="149">
        <v>-6</v>
      </c>
      <c r="J50" s="30">
        <v>-6.8</v>
      </c>
      <c r="K50" s="30">
        <v>-6.2</v>
      </c>
    </row>
    <row r="51" spans="1:11" ht="9.75" customHeight="1">
      <c r="A51" s="34"/>
      <c r="B51" s="5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ht="16.5">
      <c r="A53" s="158" t="s">
        <v>451</v>
      </c>
    </row>
    <row r="54" ht="16.5">
      <c r="A54" s="35" t="s">
        <v>452</v>
      </c>
    </row>
    <row r="55" ht="16.5">
      <c r="A55" s="35" t="s">
        <v>453</v>
      </c>
    </row>
    <row r="56" ht="16.5">
      <c r="A56" s="159" t="s">
        <v>454</v>
      </c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9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5.625" style="7" customWidth="1"/>
    <col min="2" max="2" width="10.375" style="7" customWidth="1"/>
    <col min="3" max="3" width="7.125" style="2" customWidth="1"/>
    <col min="4" max="5" width="7.125" style="3" customWidth="1"/>
    <col min="6" max="6" width="7.50390625" style="3" customWidth="1"/>
    <col min="7" max="7" width="7.125" style="2" customWidth="1"/>
    <col min="8" max="10" width="7.125" style="3" customWidth="1"/>
    <col min="11" max="11" width="7.125" style="2" customWidth="1"/>
    <col min="12" max="12" width="8.50390625" style="180" customWidth="1"/>
    <col min="13" max="16384" width="9.00390625" style="24" customWidth="1"/>
  </cols>
  <sheetData>
    <row r="1" spans="1:11" s="3" customFormat="1" ht="15" customHeight="1">
      <c r="A1" s="4" t="s">
        <v>428</v>
      </c>
      <c r="B1" s="4"/>
      <c r="C1" s="2"/>
      <c r="G1" s="2"/>
      <c r="K1" s="2"/>
    </row>
    <row r="2" spans="1:11" s="3" customFormat="1" ht="15" customHeight="1">
      <c r="A2" s="4"/>
      <c r="B2" s="4"/>
      <c r="C2" s="2"/>
      <c r="G2" s="2"/>
      <c r="K2" s="2"/>
    </row>
    <row r="3" spans="1:11" s="3" customFormat="1" ht="15" customHeight="1">
      <c r="A3" s="4"/>
      <c r="B3" s="4"/>
      <c r="C3" s="2"/>
      <c r="G3" s="2"/>
      <c r="K3" s="2"/>
    </row>
    <row r="4" spans="1:11" s="3" customFormat="1" ht="15" customHeight="1">
      <c r="A4" s="2" t="s">
        <v>455</v>
      </c>
      <c r="B4" s="2"/>
      <c r="C4" s="2"/>
      <c r="G4" s="2"/>
      <c r="K4" s="2"/>
    </row>
    <row r="5" spans="1:12" s="3" customFormat="1" ht="15" customHeight="1">
      <c r="A5" s="7"/>
      <c r="B5" s="131"/>
      <c r="C5" s="8"/>
      <c r="D5" s="9"/>
      <c r="E5" s="9"/>
      <c r="F5" s="9"/>
      <c r="G5" s="8"/>
      <c r="H5" s="9"/>
      <c r="I5" s="9"/>
      <c r="J5" s="9"/>
      <c r="K5" s="8"/>
      <c r="L5" s="160"/>
    </row>
    <row r="6" spans="1:12" s="14" customFormat="1" ht="15" customHeight="1">
      <c r="A6" s="132"/>
      <c r="B6" s="133"/>
      <c r="C6" s="568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3">
        <v>2001</v>
      </c>
      <c r="L6" s="49"/>
    </row>
    <row r="7" spans="1:12" s="14" customFormat="1" ht="15" customHeight="1">
      <c r="A7" s="143"/>
      <c r="B7" s="133"/>
      <c r="C7" s="573"/>
      <c r="D7" s="573"/>
      <c r="E7" s="573"/>
      <c r="F7" s="138" t="s">
        <v>431</v>
      </c>
      <c r="G7" s="139" t="s">
        <v>432</v>
      </c>
      <c r="H7" s="139" t="s">
        <v>433</v>
      </c>
      <c r="I7" s="139" t="s">
        <v>434</v>
      </c>
      <c r="J7" s="139" t="s">
        <v>435</v>
      </c>
      <c r="K7" s="161" t="s">
        <v>432</v>
      </c>
      <c r="L7" s="162" t="s">
        <v>456</v>
      </c>
    </row>
    <row r="8" spans="1:12" s="14" customFormat="1" ht="15" customHeight="1">
      <c r="A8" s="141"/>
      <c r="B8" s="15"/>
      <c r="C8" s="569"/>
      <c r="D8" s="569"/>
      <c r="E8" s="569"/>
      <c r="F8" s="142" t="s">
        <v>432</v>
      </c>
      <c r="G8" s="19"/>
      <c r="H8" s="19"/>
      <c r="I8" s="19"/>
      <c r="J8" s="19"/>
      <c r="K8" s="163"/>
      <c r="L8" s="164"/>
    </row>
    <row r="9" spans="1:12" s="14" customFormat="1" ht="9.75" customHeight="1">
      <c r="A9" s="143"/>
      <c r="B9" s="133"/>
      <c r="C9" s="50"/>
      <c r="D9" s="50"/>
      <c r="E9" s="50"/>
      <c r="F9" s="144"/>
      <c r="G9" s="144"/>
      <c r="H9" s="144"/>
      <c r="I9" s="144"/>
      <c r="J9" s="144"/>
      <c r="K9" s="144"/>
      <c r="L9" s="165"/>
    </row>
    <row r="10" spans="1:12" s="168" customFormat="1" ht="15" customHeight="1">
      <c r="A10" s="166" t="s">
        <v>457</v>
      </c>
      <c r="B10" s="26" t="s">
        <v>458</v>
      </c>
      <c r="C10" s="146">
        <v>15596</v>
      </c>
      <c r="D10" s="146">
        <v>16300</v>
      </c>
      <c r="E10" s="146">
        <v>18098</v>
      </c>
      <c r="F10" s="146">
        <v>9608</v>
      </c>
      <c r="G10" s="146">
        <v>4961</v>
      </c>
      <c r="H10" s="146">
        <v>4717</v>
      </c>
      <c r="I10" s="146">
        <v>4891</v>
      </c>
      <c r="J10" s="146">
        <v>4304</v>
      </c>
      <c r="K10" s="146">
        <v>5304</v>
      </c>
      <c r="L10" s="167">
        <v>100</v>
      </c>
    </row>
    <row r="11" spans="1:12" s="170" customFormat="1" ht="15" customHeight="1">
      <c r="A11" s="169"/>
      <c r="B11" s="148" t="s">
        <v>459</v>
      </c>
      <c r="C11" s="30">
        <v>-6.1</v>
      </c>
      <c r="D11" s="30">
        <v>4.5</v>
      </c>
      <c r="E11" s="30">
        <v>11</v>
      </c>
      <c r="F11" s="30">
        <v>13.2</v>
      </c>
      <c r="G11" s="30">
        <v>14.4</v>
      </c>
      <c r="H11" s="30">
        <v>19.6</v>
      </c>
      <c r="I11" s="30">
        <v>15.6</v>
      </c>
      <c r="J11" s="30">
        <v>22</v>
      </c>
      <c r="K11" s="30">
        <v>6.9</v>
      </c>
      <c r="L11" s="167"/>
    </row>
    <row r="12" spans="1:12" s="3" customFormat="1" ht="15" customHeight="1">
      <c r="A12" s="171" t="s">
        <v>460</v>
      </c>
      <c r="B12" s="26"/>
      <c r="C12" s="153"/>
      <c r="D12" s="153"/>
      <c r="E12" s="153"/>
      <c r="F12" s="153"/>
      <c r="G12" s="153"/>
      <c r="H12" s="153"/>
      <c r="I12" s="153"/>
      <c r="J12" s="153"/>
      <c r="K12" s="153"/>
      <c r="L12" s="167"/>
    </row>
    <row r="13" spans="1:12" s="3" customFormat="1" ht="15" customHeight="1">
      <c r="A13" s="52" t="s">
        <v>461</v>
      </c>
      <c r="B13" s="26" t="s">
        <v>458</v>
      </c>
      <c r="C13" s="146">
        <v>5092</v>
      </c>
      <c r="D13" s="146">
        <v>5809</v>
      </c>
      <c r="E13" s="146">
        <v>7429</v>
      </c>
      <c r="F13" s="146">
        <v>3873</v>
      </c>
      <c r="G13" s="146">
        <v>2018</v>
      </c>
      <c r="H13" s="146">
        <v>2000</v>
      </c>
      <c r="I13" s="146">
        <v>2074</v>
      </c>
      <c r="J13" s="146">
        <v>1625</v>
      </c>
      <c r="K13" s="146">
        <v>2247</v>
      </c>
      <c r="L13" s="167">
        <v>42.4</v>
      </c>
    </row>
    <row r="14" spans="1:12" s="170" customFormat="1" ht="15" customHeight="1">
      <c r="A14" s="169"/>
      <c r="B14" s="148" t="s">
        <v>459</v>
      </c>
      <c r="C14" s="30">
        <v>7.4</v>
      </c>
      <c r="D14" s="30">
        <v>14.1</v>
      </c>
      <c r="E14" s="30">
        <v>27.9</v>
      </c>
      <c r="F14" s="30">
        <v>15.4</v>
      </c>
      <c r="G14" s="30">
        <v>21.5</v>
      </c>
      <c r="H14" s="30">
        <v>34.1</v>
      </c>
      <c r="I14" s="30">
        <v>30.9</v>
      </c>
      <c r="J14" s="30">
        <v>21.5</v>
      </c>
      <c r="K14" s="30">
        <v>11.4</v>
      </c>
      <c r="L14" s="167"/>
    </row>
    <row r="15" spans="1:12" s="3" customFormat="1" ht="15" customHeight="1">
      <c r="A15" s="172"/>
      <c r="B15" s="26"/>
      <c r="C15" s="173"/>
      <c r="D15" s="173"/>
      <c r="E15" s="173"/>
      <c r="F15" s="173"/>
      <c r="G15" s="173"/>
      <c r="H15" s="173"/>
      <c r="I15" s="173"/>
      <c r="J15" s="173"/>
      <c r="K15" s="173"/>
      <c r="L15" s="167"/>
    </row>
    <row r="16" spans="1:12" s="3" customFormat="1" ht="15" customHeight="1">
      <c r="A16" s="52" t="s">
        <v>462</v>
      </c>
      <c r="B16" s="26" t="s">
        <v>458</v>
      </c>
      <c r="C16" s="146">
        <v>3697</v>
      </c>
      <c r="D16" s="146">
        <v>2945</v>
      </c>
      <c r="E16" s="146">
        <v>2758</v>
      </c>
      <c r="F16" s="146">
        <v>1264</v>
      </c>
      <c r="G16" s="146">
        <v>801</v>
      </c>
      <c r="H16" s="146">
        <v>661</v>
      </c>
      <c r="I16" s="146">
        <v>695</v>
      </c>
      <c r="J16" s="146">
        <v>536</v>
      </c>
      <c r="K16" s="146">
        <v>728</v>
      </c>
      <c r="L16" s="167">
        <v>13.7</v>
      </c>
    </row>
    <row r="17" spans="1:12" s="170" customFormat="1" ht="15" customHeight="1">
      <c r="A17" s="169"/>
      <c r="B17" s="148" t="s">
        <v>459</v>
      </c>
      <c r="C17" s="30">
        <v>-11.5</v>
      </c>
      <c r="D17" s="30">
        <v>-20.3</v>
      </c>
      <c r="E17" s="30">
        <v>-6.3</v>
      </c>
      <c r="F17" s="30">
        <v>-9.9</v>
      </c>
      <c r="G17" s="30">
        <v>-3.8</v>
      </c>
      <c r="H17" s="30">
        <v>-6.8</v>
      </c>
      <c r="I17" s="30">
        <v>-6.9</v>
      </c>
      <c r="J17" s="30">
        <v>-10.9</v>
      </c>
      <c r="K17" s="30">
        <v>-9.2</v>
      </c>
      <c r="L17" s="167"/>
    </row>
    <row r="18" spans="1:12" s="3" customFormat="1" ht="15" customHeight="1">
      <c r="A18" s="172"/>
      <c r="B18" s="26"/>
      <c r="C18" s="173"/>
      <c r="D18" s="173"/>
      <c r="E18" s="173"/>
      <c r="F18" s="173"/>
      <c r="G18" s="173"/>
      <c r="H18" s="173"/>
      <c r="I18" s="173"/>
      <c r="J18" s="173"/>
      <c r="K18" s="173"/>
      <c r="L18" s="167"/>
    </row>
    <row r="19" spans="1:12" s="3" customFormat="1" ht="15" customHeight="1">
      <c r="A19" s="8" t="s">
        <v>463</v>
      </c>
      <c r="B19" s="26" t="s">
        <v>458</v>
      </c>
      <c r="C19" s="146">
        <v>1537</v>
      </c>
      <c r="D19" s="146">
        <v>1550</v>
      </c>
      <c r="E19" s="146">
        <v>1720</v>
      </c>
      <c r="F19" s="146">
        <v>670</v>
      </c>
      <c r="G19" s="146">
        <v>588</v>
      </c>
      <c r="H19" s="146">
        <v>425</v>
      </c>
      <c r="I19" s="146">
        <v>393</v>
      </c>
      <c r="J19" s="146">
        <v>280</v>
      </c>
      <c r="K19" s="146">
        <v>390</v>
      </c>
      <c r="L19" s="167">
        <v>7.4</v>
      </c>
    </row>
    <row r="20" spans="1:12" s="170" customFormat="1" ht="15" customHeight="1">
      <c r="A20" s="169"/>
      <c r="B20" s="148" t="s">
        <v>459</v>
      </c>
      <c r="C20" s="30">
        <v>0</v>
      </c>
      <c r="D20" s="30">
        <v>0.8</v>
      </c>
      <c r="E20" s="30">
        <v>10.9</v>
      </c>
      <c r="F20" s="30">
        <v>-25.7</v>
      </c>
      <c r="G20" s="30">
        <v>18.3</v>
      </c>
      <c r="H20" s="30">
        <v>3.4</v>
      </c>
      <c r="I20" s="30">
        <v>15.6</v>
      </c>
      <c r="J20" s="30">
        <v>-10.9</v>
      </c>
      <c r="K20" s="30">
        <v>-33.6</v>
      </c>
      <c r="L20" s="167"/>
    </row>
    <row r="21" spans="1:12" s="3" customFormat="1" ht="15" customHeight="1">
      <c r="A21" s="172"/>
      <c r="B21" s="26"/>
      <c r="C21" s="173"/>
      <c r="D21" s="173"/>
      <c r="E21" s="173"/>
      <c r="F21" s="173"/>
      <c r="G21" s="173"/>
      <c r="H21" s="173"/>
      <c r="I21" s="173"/>
      <c r="J21" s="173"/>
      <c r="K21" s="173"/>
      <c r="L21" s="167"/>
    </row>
    <row r="22" spans="1:12" s="3" customFormat="1" ht="15" customHeight="1">
      <c r="A22" s="52" t="s">
        <v>464</v>
      </c>
      <c r="B22" s="26" t="s">
        <v>458</v>
      </c>
      <c r="C22" s="146">
        <v>1208</v>
      </c>
      <c r="D22" s="146">
        <v>1084</v>
      </c>
      <c r="E22" s="146">
        <v>1142</v>
      </c>
      <c r="F22" s="146">
        <v>534</v>
      </c>
      <c r="G22" s="146">
        <v>286</v>
      </c>
      <c r="H22" s="146">
        <v>306</v>
      </c>
      <c r="I22" s="146">
        <v>296</v>
      </c>
      <c r="J22" s="146">
        <v>267</v>
      </c>
      <c r="K22" s="146">
        <v>267</v>
      </c>
      <c r="L22" s="167">
        <v>5</v>
      </c>
    </row>
    <row r="23" spans="1:12" s="170" customFormat="1" ht="15" customHeight="1">
      <c r="A23" s="169"/>
      <c r="B23" s="148" t="s">
        <v>459</v>
      </c>
      <c r="C23" s="30">
        <v>-14.8</v>
      </c>
      <c r="D23" s="30">
        <v>-10.3</v>
      </c>
      <c r="E23" s="30">
        <v>5.3</v>
      </c>
      <c r="F23" s="30">
        <v>-1.1</v>
      </c>
      <c r="G23" s="30">
        <v>18</v>
      </c>
      <c r="H23" s="30">
        <v>18.9</v>
      </c>
      <c r="I23" s="30">
        <v>3.8</v>
      </c>
      <c r="J23" s="30">
        <v>5.4</v>
      </c>
      <c r="K23" s="30">
        <v>-6.8</v>
      </c>
      <c r="L23" s="167"/>
    </row>
    <row r="24" spans="1:12" s="3" customFormat="1" ht="15" customHeight="1">
      <c r="A24" s="172"/>
      <c r="B24" s="26"/>
      <c r="C24" s="173"/>
      <c r="D24" s="173"/>
      <c r="E24" s="173"/>
      <c r="F24" s="173"/>
      <c r="G24" s="173"/>
      <c r="H24" s="173"/>
      <c r="I24" s="173"/>
      <c r="J24" s="173"/>
      <c r="K24" s="173"/>
      <c r="L24" s="167"/>
    </row>
    <row r="25" spans="1:12" s="3" customFormat="1" ht="15" customHeight="1">
      <c r="A25" s="52" t="s">
        <v>465</v>
      </c>
      <c r="B25" s="26" t="s">
        <v>458</v>
      </c>
      <c r="C25" s="146">
        <v>1641</v>
      </c>
      <c r="D25" s="146">
        <v>2103</v>
      </c>
      <c r="E25" s="146">
        <v>1738</v>
      </c>
      <c r="F25" s="146">
        <v>1273</v>
      </c>
      <c r="G25" s="146">
        <v>378</v>
      </c>
      <c r="H25" s="146">
        <v>513</v>
      </c>
      <c r="I25" s="146">
        <v>492</v>
      </c>
      <c r="J25" s="146">
        <v>568</v>
      </c>
      <c r="K25" s="146">
        <v>705</v>
      </c>
      <c r="L25" s="167">
        <v>13.3</v>
      </c>
    </row>
    <row r="26" spans="1:12" s="170" customFormat="1" ht="15" customHeight="1">
      <c r="A26" s="169"/>
      <c r="B26" s="148" t="s">
        <v>459</v>
      </c>
      <c r="C26" s="30">
        <v>-20</v>
      </c>
      <c r="D26" s="30">
        <v>28.1</v>
      </c>
      <c r="E26" s="30">
        <v>-17.3</v>
      </c>
      <c r="F26" s="30">
        <v>73.8</v>
      </c>
      <c r="G26" s="30">
        <v>-3</v>
      </c>
      <c r="H26" s="30">
        <v>32.1</v>
      </c>
      <c r="I26" s="30">
        <v>11.7</v>
      </c>
      <c r="J26" s="30">
        <v>60.1</v>
      </c>
      <c r="K26" s="30">
        <v>86.6</v>
      </c>
      <c r="L26" s="167"/>
    </row>
    <row r="27" spans="1:12" s="3" customFormat="1" ht="15" customHeight="1">
      <c r="A27" s="172"/>
      <c r="B27" s="26"/>
      <c r="C27" s="173"/>
      <c r="D27" s="173"/>
      <c r="E27" s="173"/>
      <c r="F27" s="173"/>
      <c r="G27" s="173"/>
      <c r="H27" s="173"/>
      <c r="I27" s="173"/>
      <c r="J27" s="173"/>
      <c r="K27" s="173"/>
      <c r="L27" s="167"/>
    </row>
    <row r="28" spans="1:12" s="3" customFormat="1" ht="15" customHeight="1">
      <c r="A28" s="52" t="s">
        <v>466</v>
      </c>
      <c r="B28" s="26" t="s">
        <v>458</v>
      </c>
      <c r="C28" s="146">
        <v>733</v>
      </c>
      <c r="D28" s="146">
        <v>831</v>
      </c>
      <c r="E28" s="146">
        <v>820</v>
      </c>
      <c r="F28" s="146">
        <v>448</v>
      </c>
      <c r="G28" s="146">
        <v>180</v>
      </c>
      <c r="H28" s="146">
        <v>198</v>
      </c>
      <c r="I28" s="146">
        <v>263</v>
      </c>
      <c r="J28" s="146">
        <v>232</v>
      </c>
      <c r="K28" s="146">
        <v>216</v>
      </c>
      <c r="L28" s="167">
        <v>4.1</v>
      </c>
    </row>
    <row r="29" spans="1:12" s="170" customFormat="1" ht="15" customHeight="1">
      <c r="A29" s="169"/>
      <c r="B29" s="148" t="s">
        <v>459</v>
      </c>
      <c r="C29" s="30">
        <v>-29.7</v>
      </c>
      <c r="D29" s="30">
        <v>13.3</v>
      </c>
      <c r="E29" s="30">
        <v>-1.3</v>
      </c>
      <c r="F29" s="30">
        <v>25.2</v>
      </c>
      <c r="G29" s="30">
        <v>-14.5</v>
      </c>
      <c r="H29" s="30">
        <v>8.7</v>
      </c>
      <c r="I29" s="30">
        <v>26.9</v>
      </c>
      <c r="J29" s="30">
        <v>31</v>
      </c>
      <c r="K29" s="30">
        <v>19.5</v>
      </c>
      <c r="L29" s="167"/>
    </row>
    <row r="30" spans="1:12" s="3" customFormat="1" ht="15" customHeight="1">
      <c r="A30" s="52"/>
      <c r="B30" s="26"/>
      <c r="C30" s="173"/>
      <c r="D30" s="173"/>
      <c r="E30" s="173"/>
      <c r="F30" s="173"/>
      <c r="G30" s="173"/>
      <c r="H30" s="173"/>
      <c r="I30" s="173"/>
      <c r="J30" s="173"/>
      <c r="K30" s="173"/>
      <c r="L30" s="167"/>
    </row>
    <row r="31" spans="1:12" s="3" customFormat="1" ht="15" customHeight="1">
      <c r="A31" s="52" t="s">
        <v>467</v>
      </c>
      <c r="B31" s="26"/>
      <c r="C31" s="153"/>
      <c r="D31" s="153"/>
      <c r="E31" s="153"/>
      <c r="F31" s="153"/>
      <c r="G31" s="153"/>
      <c r="H31" s="153"/>
      <c r="I31" s="153"/>
      <c r="J31" s="153"/>
      <c r="K31" s="153"/>
      <c r="L31" s="167"/>
    </row>
    <row r="32" spans="1:12" s="3" customFormat="1" ht="15" customHeight="1">
      <c r="A32" s="8" t="s">
        <v>468</v>
      </c>
      <c r="B32" s="26" t="s">
        <v>458</v>
      </c>
      <c r="C32" s="146">
        <v>4024</v>
      </c>
      <c r="D32" s="146">
        <v>4340</v>
      </c>
      <c r="E32" s="146">
        <v>5318</v>
      </c>
      <c r="F32" s="146">
        <v>2892</v>
      </c>
      <c r="G32" s="146">
        <v>1287</v>
      </c>
      <c r="H32" s="146">
        <v>1476</v>
      </c>
      <c r="I32" s="146">
        <v>1558</v>
      </c>
      <c r="J32" s="146">
        <v>1286</v>
      </c>
      <c r="K32" s="146">
        <v>1606</v>
      </c>
      <c r="L32" s="167">
        <v>30.3</v>
      </c>
    </row>
    <row r="33" spans="1:12" s="170" customFormat="1" ht="15" customHeight="1">
      <c r="A33" s="169"/>
      <c r="B33" s="148" t="s">
        <v>459</v>
      </c>
      <c r="C33" s="30">
        <v>-5.9</v>
      </c>
      <c r="D33" s="30">
        <v>7.9</v>
      </c>
      <c r="E33" s="30">
        <v>22.5</v>
      </c>
      <c r="F33" s="30">
        <v>26.6</v>
      </c>
      <c r="G33" s="30">
        <v>15.8</v>
      </c>
      <c r="H33" s="30">
        <v>35</v>
      </c>
      <c r="I33" s="30">
        <v>31.3</v>
      </c>
      <c r="J33" s="30">
        <v>29</v>
      </c>
      <c r="K33" s="30">
        <v>24.8</v>
      </c>
      <c r="L33" s="167"/>
    </row>
    <row r="34" spans="1:12" s="3" customFormat="1" ht="15" customHeight="1">
      <c r="A34" s="172"/>
      <c r="B34" s="26"/>
      <c r="C34" s="173"/>
      <c r="D34" s="173"/>
      <c r="E34" s="173"/>
      <c r="F34" s="173"/>
      <c r="G34" s="173"/>
      <c r="H34" s="173"/>
      <c r="I34" s="173"/>
      <c r="J34" s="173"/>
      <c r="K34" s="173"/>
      <c r="L34" s="167"/>
    </row>
    <row r="35" spans="1:12" s="3" customFormat="1" ht="15" customHeight="1">
      <c r="A35" s="52" t="s">
        <v>469</v>
      </c>
      <c r="B35" s="26" t="s">
        <v>458</v>
      </c>
      <c r="C35" s="146">
        <v>1523</v>
      </c>
      <c r="D35" s="146">
        <v>1469</v>
      </c>
      <c r="E35" s="146">
        <v>1745</v>
      </c>
      <c r="F35" s="146">
        <v>1064</v>
      </c>
      <c r="G35" s="146">
        <v>388</v>
      </c>
      <c r="H35" s="146">
        <v>491</v>
      </c>
      <c r="I35" s="146">
        <v>521</v>
      </c>
      <c r="J35" s="146">
        <v>539</v>
      </c>
      <c r="K35" s="146">
        <v>524</v>
      </c>
      <c r="L35" s="167">
        <v>9.9</v>
      </c>
    </row>
    <row r="36" spans="1:12" s="170" customFormat="1" ht="15" customHeight="1">
      <c r="A36" s="169"/>
      <c r="B36" s="148" t="s">
        <v>459</v>
      </c>
      <c r="C36" s="30">
        <v>-8.2</v>
      </c>
      <c r="D36" s="30">
        <v>-3.6</v>
      </c>
      <c r="E36" s="30">
        <v>18.7</v>
      </c>
      <c r="F36" s="30">
        <v>45.1</v>
      </c>
      <c r="G36" s="30">
        <v>3</v>
      </c>
      <c r="H36" s="30">
        <v>44.9</v>
      </c>
      <c r="I36" s="30">
        <v>38.3</v>
      </c>
      <c r="J36" s="30">
        <v>56.6</v>
      </c>
      <c r="K36" s="30">
        <v>34.9</v>
      </c>
      <c r="L36" s="167"/>
    </row>
    <row r="37" spans="1:12" s="3" customFormat="1" ht="15" customHeight="1">
      <c r="A37" s="172"/>
      <c r="B37" s="26"/>
      <c r="C37" s="173"/>
      <c r="D37" s="173"/>
      <c r="E37" s="173"/>
      <c r="F37" s="173"/>
      <c r="G37" s="173"/>
      <c r="H37" s="173"/>
      <c r="I37" s="173"/>
      <c r="J37" s="173"/>
      <c r="K37" s="173"/>
      <c r="L37" s="167"/>
    </row>
    <row r="38" spans="1:12" s="3" customFormat="1" ht="15" customHeight="1">
      <c r="A38" s="174" t="s">
        <v>470</v>
      </c>
      <c r="B38" s="26" t="s">
        <v>458</v>
      </c>
      <c r="C38" s="146">
        <v>1103</v>
      </c>
      <c r="D38" s="146">
        <v>1525</v>
      </c>
      <c r="E38" s="146">
        <v>2018</v>
      </c>
      <c r="F38" s="146">
        <v>1049</v>
      </c>
      <c r="G38" s="146">
        <v>550</v>
      </c>
      <c r="H38" s="146">
        <v>555</v>
      </c>
      <c r="I38" s="146">
        <v>599</v>
      </c>
      <c r="J38" s="146">
        <v>354</v>
      </c>
      <c r="K38" s="146">
        <v>695</v>
      </c>
      <c r="L38" s="167">
        <v>13.1</v>
      </c>
    </row>
    <row r="39" spans="1:12" s="170" customFormat="1" ht="15" customHeight="1">
      <c r="A39" s="169"/>
      <c r="B39" s="148" t="s">
        <v>459</v>
      </c>
      <c r="C39" s="30">
        <v>15.4</v>
      </c>
      <c r="D39" s="30">
        <v>38.3</v>
      </c>
      <c r="E39" s="30">
        <v>32.4</v>
      </c>
      <c r="F39" s="30">
        <v>21.4</v>
      </c>
      <c r="G39" s="30">
        <v>21.5</v>
      </c>
      <c r="H39" s="30">
        <v>27.3</v>
      </c>
      <c r="I39" s="30">
        <v>49</v>
      </c>
      <c r="J39" s="30">
        <v>12.7</v>
      </c>
      <c r="K39" s="30">
        <v>26.4</v>
      </c>
      <c r="L39" s="167"/>
    </row>
    <row r="40" spans="1:12" s="3" customFormat="1" ht="15" customHeight="1">
      <c r="A40" s="172"/>
      <c r="B40" s="26"/>
      <c r="C40" s="173"/>
      <c r="D40" s="173"/>
      <c r="E40" s="173"/>
      <c r="F40" s="173"/>
      <c r="G40" s="173"/>
      <c r="H40" s="173"/>
      <c r="I40" s="173"/>
      <c r="J40" s="173"/>
      <c r="K40" s="173"/>
      <c r="L40" s="167"/>
    </row>
    <row r="41" spans="1:12" s="3" customFormat="1" ht="15" customHeight="1">
      <c r="A41" s="52" t="s">
        <v>471</v>
      </c>
      <c r="B41" s="26" t="s">
        <v>458</v>
      </c>
      <c r="C41" s="146">
        <v>423</v>
      </c>
      <c r="D41" s="146">
        <v>383</v>
      </c>
      <c r="E41" s="146">
        <v>482</v>
      </c>
      <c r="F41" s="146">
        <v>268</v>
      </c>
      <c r="G41" s="146">
        <v>110</v>
      </c>
      <c r="H41" s="146">
        <v>121</v>
      </c>
      <c r="I41" s="146">
        <v>156</v>
      </c>
      <c r="J41" s="146">
        <v>140</v>
      </c>
      <c r="K41" s="146">
        <v>128</v>
      </c>
      <c r="L41" s="167">
        <v>2.4</v>
      </c>
    </row>
    <row r="42" spans="1:12" s="170" customFormat="1" ht="15" customHeight="1">
      <c r="A42" s="169"/>
      <c r="B42" s="148" t="s">
        <v>459</v>
      </c>
      <c r="C42" s="30">
        <v>-18.5</v>
      </c>
      <c r="D42" s="30">
        <v>-9.5</v>
      </c>
      <c r="E42" s="30">
        <v>25.9</v>
      </c>
      <c r="F42" s="30">
        <v>30.6</v>
      </c>
      <c r="G42" s="30">
        <v>55.6</v>
      </c>
      <c r="H42" s="30">
        <v>49.6</v>
      </c>
      <c r="I42" s="30">
        <v>8.7</v>
      </c>
      <c r="J42" s="30">
        <v>47.4</v>
      </c>
      <c r="K42" s="30">
        <v>16.1</v>
      </c>
      <c r="L42" s="167"/>
    </row>
    <row r="43" spans="1:12" s="3" customFormat="1" ht="15" customHeight="1">
      <c r="A43" s="172"/>
      <c r="B43" s="26"/>
      <c r="C43" s="173"/>
      <c r="D43" s="173"/>
      <c r="E43" s="173"/>
      <c r="F43" s="173"/>
      <c r="G43" s="173"/>
      <c r="H43" s="173"/>
      <c r="I43" s="173"/>
      <c r="J43" s="173"/>
      <c r="K43" s="173"/>
      <c r="L43" s="167"/>
    </row>
    <row r="44" spans="1:12" s="3" customFormat="1" ht="15" customHeight="1" hidden="1">
      <c r="A44" s="52" t="s">
        <v>472</v>
      </c>
      <c r="B44" s="26" t="s">
        <v>458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67"/>
    </row>
    <row r="45" spans="1:12" s="3" customFormat="1" ht="15" customHeight="1" hidden="1">
      <c r="A45" s="172"/>
      <c r="B45" s="26" t="s">
        <v>459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67"/>
    </row>
    <row r="46" spans="1:12" s="3" customFormat="1" ht="15" customHeight="1" hidden="1">
      <c r="A46" s="172"/>
      <c r="B46" s="26"/>
      <c r="C46" s="173"/>
      <c r="D46" s="173"/>
      <c r="E46" s="173"/>
      <c r="F46" s="173"/>
      <c r="G46" s="173"/>
      <c r="H46" s="173"/>
      <c r="I46" s="173"/>
      <c r="J46" s="173"/>
      <c r="K46" s="173"/>
      <c r="L46" s="167"/>
    </row>
    <row r="47" spans="1:12" s="9" customFormat="1" ht="15" customHeight="1">
      <c r="A47" s="8" t="s">
        <v>473</v>
      </c>
      <c r="B47" s="26" t="s">
        <v>458</v>
      </c>
      <c r="C47" s="175">
        <v>9068</v>
      </c>
      <c r="D47" s="175">
        <v>8781</v>
      </c>
      <c r="E47" s="175">
        <v>9430</v>
      </c>
      <c r="F47" s="146">
        <v>4506</v>
      </c>
      <c r="G47" s="146">
        <v>2797</v>
      </c>
      <c r="H47" s="146">
        <v>2352</v>
      </c>
      <c r="I47" s="146">
        <v>2391</v>
      </c>
      <c r="J47" s="146">
        <v>1913</v>
      </c>
      <c r="K47" s="146">
        <v>2592</v>
      </c>
      <c r="L47" s="167">
        <v>48.9</v>
      </c>
    </row>
    <row r="48" spans="1:12" s="170" customFormat="1" ht="15" customHeight="1">
      <c r="A48" s="169"/>
      <c r="B48" s="148" t="s">
        <v>459</v>
      </c>
      <c r="C48" s="30">
        <v>-3.3</v>
      </c>
      <c r="D48" s="30">
        <v>-3.2</v>
      </c>
      <c r="E48" s="30">
        <v>7.4</v>
      </c>
      <c r="F48" s="30">
        <v>-3.9</v>
      </c>
      <c r="G48" s="30">
        <v>8.5</v>
      </c>
      <c r="H48" s="30">
        <v>10</v>
      </c>
      <c r="I48" s="30">
        <v>1.8</v>
      </c>
      <c r="J48" s="30">
        <v>1.2</v>
      </c>
      <c r="K48" s="30">
        <v>-7.3</v>
      </c>
      <c r="L48" s="167"/>
    </row>
    <row r="49" spans="1:12" s="3" customFormat="1" ht="15" customHeight="1">
      <c r="A49" s="172"/>
      <c r="B49" s="26"/>
      <c r="C49" s="173"/>
      <c r="D49" s="173"/>
      <c r="E49" s="173"/>
      <c r="F49" s="173"/>
      <c r="G49" s="173"/>
      <c r="H49" s="173"/>
      <c r="I49" s="173"/>
      <c r="J49" s="173"/>
      <c r="K49" s="173"/>
      <c r="L49" s="167"/>
    </row>
    <row r="50" spans="1:12" s="3" customFormat="1" ht="15" customHeight="1">
      <c r="A50" s="52" t="s">
        <v>474</v>
      </c>
      <c r="B50" s="26" t="s">
        <v>458</v>
      </c>
      <c r="C50" s="175">
        <v>6748</v>
      </c>
      <c r="D50" s="175">
        <v>6454</v>
      </c>
      <c r="E50" s="175">
        <v>7324</v>
      </c>
      <c r="F50" s="146">
        <v>3468</v>
      </c>
      <c r="G50" s="146">
        <v>2274</v>
      </c>
      <c r="H50" s="146">
        <v>1796</v>
      </c>
      <c r="I50" s="146">
        <v>1811</v>
      </c>
      <c r="J50" s="146">
        <v>1387</v>
      </c>
      <c r="K50" s="146">
        <v>2081</v>
      </c>
      <c r="L50" s="167">
        <v>39.2</v>
      </c>
    </row>
    <row r="51" spans="1:12" s="170" customFormat="1" ht="15" customHeight="1">
      <c r="A51" s="169"/>
      <c r="B51" s="148" t="s">
        <v>459</v>
      </c>
      <c r="C51" s="30">
        <v>-1.2</v>
      </c>
      <c r="D51" s="30">
        <v>-4.4</v>
      </c>
      <c r="E51" s="30">
        <v>13.5</v>
      </c>
      <c r="F51" s="30">
        <v>-6.7</v>
      </c>
      <c r="G51" s="30">
        <v>-3.3</v>
      </c>
      <c r="H51" s="30">
        <v>48.6</v>
      </c>
      <c r="I51" s="30">
        <v>-28.4</v>
      </c>
      <c r="J51" s="30">
        <v>-3.9</v>
      </c>
      <c r="K51" s="30">
        <v>-8.5</v>
      </c>
      <c r="L51" s="167"/>
    </row>
    <row r="52" spans="1:12" s="3" customFormat="1" ht="15" customHeight="1">
      <c r="A52" s="172"/>
      <c r="B52" s="26"/>
      <c r="C52" s="173"/>
      <c r="D52" s="173"/>
      <c r="E52" s="173"/>
      <c r="F52" s="173"/>
      <c r="G52" s="173"/>
      <c r="H52" s="173"/>
      <c r="I52" s="173"/>
      <c r="J52" s="173"/>
      <c r="K52" s="173"/>
      <c r="L52" s="167"/>
    </row>
    <row r="53" spans="1:12" s="3" customFormat="1" ht="15" customHeight="1">
      <c r="A53" s="52" t="s">
        <v>475</v>
      </c>
      <c r="B53" s="26" t="s">
        <v>458</v>
      </c>
      <c r="C53" s="146">
        <v>311</v>
      </c>
      <c r="D53" s="146">
        <v>240</v>
      </c>
      <c r="E53" s="146">
        <v>179</v>
      </c>
      <c r="F53" s="146">
        <v>100</v>
      </c>
      <c r="G53" s="146">
        <v>50</v>
      </c>
      <c r="H53" s="146">
        <v>50</v>
      </c>
      <c r="I53" s="146">
        <v>47</v>
      </c>
      <c r="J53" s="146">
        <v>45</v>
      </c>
      <c r="K53" s="146">
        <v>54</v>
      </c>
      <c r="L53" s="167">
        <v>1</v>
      </c>
    </row>
    <row r="54" spans="1:12" s="170" customFormat="1" ht="15" customHeight="1">
      <c r="A54" s="169"/>
      <c r="B54" s="148" t="s">
        <v>459</v>
      </c>
      <c r="C54" s="30">
        <v>-18</v>
      </c>
      <c r="D54" s="30">
        <v>-22.7</v>
      </c>
      <c r="E54" s="30">
        <v>-25.6</v>
      </c>
      <c r="F54" s="30">
        <v>23.1</v>
      </c>
      <c r="G54" s="30">
        <v>-11.5</v>
      </c>
      <c r="H54" s="30">
        <v>-35.2</v>
      </c>
      <c r="I54" s="30">
        <v>-9.5</v>
      </c>
      <c r="J54" s="30">
        <v>47</v>
      </c>
      <c r="K54" s="30">
        <v>8.3</v>
      </c>
      <c r="L54" s="167"/>
    </row>
    <row r="55" spans="1:12" s="3" customFormat="1" ht="15" customHeight="1">
      <c r="A55" s="172"/>
      <c r="B55" s="26"/>
      <c r="C55" s="173"/>
      <c r="D55" s="173"/>
      <c r="E55" s="173"/>
      <c r="F55" s="173"/>
      <c r="G55" s="173"/>
      <c r="H55" s="173"/>
      <c r="I55" s="173"/>
      <c r="J55" s="173"/>
      <c r="K55" s="173"/>
      <c r="L55" s="167"/>
    </row>
    <row r="56" spans="1:12" s="9" customFormat="1" ht="15" customHeight="1" hidden="1">
      <c r="A56" s="52" t="s">
        <v>472</v>
      </c>
      <c r="B56" s="26" t="s">
        <v>458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67"/>
    </row>
    <row r="57" spans="1:12" s="3" customFormat="1" ht="15" customHeight="1" hidden="1">
      <c r="A57" s="172"/>
      <c r="B57" s="26" t="s">
        <v>459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67"/>
    </row>
    <row r="58" spans="1:12" s="3" customFormat="1" ht="15" customHeight="1" hidden="1">
      <c r="A58" s="172"/>
      <c r="B58" s="26"/>
      <c r="C58" s="173"/>
      <c r="D58" s="173"/>
      <c r="E58" s="173"/>
      <c r="F58" s="173"/>
      <c r="G58" s="173"/>
      <c r="H58" s="173"/>
      <c r="I58" s="173"/>
      <c r="J58" s="173"/>
      <c r="K58" s="173"/>
      <c r="L58" s="167"/>
    </row>
    <row r="59" spans="1:12" s="9" customFormat="1" ht="15" customHeight="1">
      <c r="A59" s="8" t="s">
        <v>476</v>
      </c>
      <c r="B59" s="26" t="s">
        <v>458</v>
      </c>
      <c r="C59" s="146">
        <v>989</v>
      </c>
      <c r="D59" s="146">
        <v>1012</v>
      </c>
      <c r="E59" s="146">
        <v>1371</v>
      </c>
      <c r="F59" s="146">
        <v>741</v>
      </c>
      <c r="G59" s="146">
        <v>336</v>
      </c>
      <c r="H59" s="146">
        <v>374</v>
      </c>
      <c r="I59" s="146">
        <v>384</v>
      </c>
      <c r="J59" s="146">
        <v>350</v>
      </c>
      <c r="K59" s="146">
        <v>391</v>
      </c>
      <c r="L59" s="167">
        <v>7.4</v>
      </c>
    </row>
    <row r="60" spans="1:12" s="170" customFormat="1" ht="15" customHeight="1">
      <c r="A60" s="169"/>
      <c r="B60" s="148" t="s">
        <v>459</v>
      </c>
      <c r="C60" s="30">
        <v>-7.6</v>
      </c>
      <c r="D60" s="30">
        <v>2.3</v>
      </c>
      <c r="E60" s="30">
        <v>35.5</v>
      </c>
      <c r="F60" s="30">
        <v>20.9</v>
      </c>
      <c r="G60" s="30">
        <v>32.4</v>
      </c>
      <c r="H60" s="30">
        <v>27.9</v>
      </c>
      <c r="I60" s="30">
        <v>52.4</v>
      </c>
      <c r="J60" s="30">
        <v>26.4</v>
      </c>
      <c r="K60" s="30">
        <v>16.3</v>
      </c>
      <c r="L60" s="167"/>
    </row>
    <row r="61" spans="1:12" s="3" customFormat="1" ht="15" customHeight="1">
      <c r="A61" s="172"/>
      <c r="B61" s="26"/>
      <c r="C61" s="173"/>
      <c r="D61" s="173"/>
      <c r="E61" s="173"/>
      <c r="F61" s="173"/>
      <c r="G61" s="173"/>
      <c r="H61" s="173"/>
      <c r="I61" s="173"/>
      <c r="J61" s="173"/>
      <c r="K61" s="173"/>
      <c r="L61" s="167"/>
    </row>
    <row r="62" spans="1:12" s="9" customFormat="1" ht="15" customHeight="1">
      <c r="A62" s="176" t="s">
        <v>477</v>
      </c>
      <c r="B62" s="26" t="s">
        <v>458</v>
      </c>
      <c r="C62" s="146">
        <v>1515</v>
      </c>
      <c r="D62" s="146">
        <v>2167</v>
      </c>
      <c r="E62" s="146">
        <v>1978</v>
      </c>
      <c r="F62" s="146">
        <v>1470</v>
      </c>
      <c r="G62" s="146">
        <v>541</v>
      </c>
      <c r="H62" s="146">
        <v>515</v>
      </c>
      <c r="I62" s="146">
        <v>558</v>
      </c>
      <c r="J62" s="146">
        <v>755</v>
      </c>
      <c r="K62" s="146">
        <v>715</v>
      </c>
      <c r="L62" s="167">
        <v>13.5</v>
      </c>
    </row>
    <row r="63" spans="1:12" s="170" customFormat="1" ht="15" customHeight="1">
      <c r="A63" s="169"/>
      <c r="B63" s="148" t="s">
        <v>459</v>
      </c>
      <c r="C63" s="30">
        <v>-19.4</v>
      </c>
      <c r="D63" s="30">
        <v>43</v>
      </c>
      <c r="E63" s="30">
        <v>-8.7</v>
      </c>
      <c r="F63" s="30">
        <v>62.3</v>
      </c>
      <c r="G63" s="30">
        <v>37.5</v>
      </c>
      <c r="H63" s="30">
        <v>22.3</v>
      </c>
      <c r="I63" s="30">
        <v>25.7</v>
      </c>
      <c r="J63" s="30">
        <v>107</v>
      </c>
      <c r="K63" s="30">
        <v>32.2</v>
      </c>
      <c r="L63" s="167"/>
    </row>
    <row r="64" spans="1:12" s="3" customFormat="1" ht="9.75" customHeight="1">
      <c r="A64" s="177"/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60"/>
    </row>
    <row r="65" ht="4.5" customHeight="1"/>
    <row r="66" ht="16.5">
      <c r="A66" s="158" t="s">
        <v>478</v>
      </c>
    </row>
    <row r="92" spans="1:11" s="3" customFormat="1" ht="16.5">
      <c r="A92" s="7"/>
      <c r="B92" s="7"/>
      <c r="C92" s="2"/>
      <c r="G92" s="2"/>
      <c r="K92" s="2"/>
    </row>
    <row r="93" spans="1:11" s="3" customFormat="1" ht="16.5">
      <c r="A93" s="7"/>
      <c r="B93" s="7"/>
      <c r="C93" s="2"/>
      <c r="G93" s="2"/>
      <c r="K93" s="2"/>
    </row>
    <row r="94" spans="1:11" s="3" customFormat="1" ht="16.5">
      <c r="A94" s="7"/>
      <c r="B94" s="7"/>
      <c r="C94" s="2"/>
      <c r="G94" s="2"/>
      <c r="K94" s="2"/>
    </row>
    <row r="95" spans="1:11" s="3" customFormat="1" ht="16.5">
      <c r="A95" s="7"/>
      <c r="B95" s="7"/>
      <c r="C95" s="2"/>
      <c r="G95" s="2"/>
      <c r="K95" s="2"/>
    </row>
    <row r="96" spans="1:11" s="3" customFormat="1" ht="16.5">
      <c r="A96" s="7"/>
      <c r="B96" s="7"/>
      <c r="C96" s="2"/>
      <c r="G96" s="2"/>
      <c r="K96" s="2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1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2.50390625" style="24" customWidth="1"/>
    <col min="2" max="2" width="10.375" style="7" customWidth="1"/>
    <col min="3" max="5" width="6.625" style="24" customWidth="1"/>
    <col min="6" max="6" width="8.625" style="24" customWidth="1"/>
    <col min="7" max="11" width="6.625" style="24" customWidth="1"/>
    <col min="12" max="12" width="7.625" style="24" customWidth="1"/>
    <col min="13" max="16384" width="9.00390625" style="24" customWidth="1"/>
  </cols>
  <sheetData>
    <row r="1" spans="1:11" s="3" customFormat="1" ht="15" customHeight="1">
      <c r="A1" s="4" t="s">
        <v>479</v>
      </c>
      <c r="B1" s="4"/>
      <c r="C1" s="2"/>
      <c r="G1" s="2"/>
      <c r="K1" s="2"/>
    </row>
    <row r="2" spans="1:11" s="3" customFormat="1" ht="15" customHeight="1">
      <c r="A2" s="4"/>
      <c r="B2" s="4"/>
      <c r="C2" s="2"/>
      <c r="G2" s="2"/>
      <c r="K2" s="2"/>
    </row>
    <row r="3" spans="1:11" s="3" customFormat="1" ht="15" customHeight="1">
      <c r="A3" s="4"/>
      <c r="B3" s="4"/>
      <c r="C3" s="2"/>
      <c r="G3" s="2"/>
      <c r="K3" s="2"/>
    </row>
    <row r="4" spans="1:11" s="3" customFormat="1" ht="15" customHeight="1">
      <c r="A4" s="2" t="s">
        <v>480</v>
      </c>
      <c r="B4" s="2"/>
      <c r="C4" s="2"/>
      <c r="G4" s="2"/>
      <c r="K4" s="2"/>
    </row>
    <row r="5" spans="1:12" s="3" customFormat="1" ht="15" customHeight="1">
      <c r="A5" s="7"/>
      <c r="B5" s="131"/>
      <c r="C5" s="8"/>
      <c r="D5" s="9"/>
      <c r="E5" s="9"/>
      <c r="F5" s="9"/>
      <c r="G5" s="8"/>
      <c r="H5" s="9"/>
      <c r="I5" s="9"/>
      <c r="J5" s="9"/>
      <c r="K5" s="8"/>
      <c r="L5" s="160"/>
    </row>
    <row r="6" spans="1:11" s="14" customFormat="1" ht="16.5" customHeight="1">
      <c r="A6" s="132"/>
      <c r="B6" s="10"/>
      <c r="C6" s="566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3">
        <v>2001</v>
      </c>
    </row>
    <row r="7" spans="1:12" s="14" customFormat="1" ht="16.5" customHeight="1">
      <c r="A7" s="143"/>
      <c r="B7" s="133"/>
      <c r="C7" s="572"/>
      <c r="D7" s="573"/>
      <c r="E7" s="573"/>
      <c r="F7" s="138" t="s">
        <v>481</v>
      </c>
      <c r="G7" s="139" t="s">
        <v>301</v>
      </c>
      <c r="H7" s="139" t="s">
        <v>302</v>
      </c>
      <c r="I7" s="139" t="s">
        <v>303</v>
      </c>
      <c r="J7" s="139" t="s">
        <v>304</v>
      </c>
      <c r="K7" s="161" t="s">
        <v>301</v>
      </c>
      <c r="L7" s="162" t="s">
        <v>482</v>
      </c>
    </row>
    <row r="8" spans="1:12" s="14" customFormat="1" ht="16.5" customHeight="1">
      <c r="A8" s="141"/>
      <c r="B8" s="15"/>
      <c r="C8" s="567"/>
      <c r="D8" s="569"/>
      <c r="E8" s="569"/>
      <c r="F8" s="142" t="s">
        <v>301</v>
      </c>
      <c r="G8" s="19"/>
      <c r="H8" s="19"/>
      <c r="I8" s="19"/>
      <c r="J8" s="19"/>
      <c r="K8" s="163"/>
      <c r="L8" s="181"/>
    </row>
    <row r="9" spans="1:12" s="14" customFormat="1" ht="9.75" customHeight="1">
      <c r="A9" s="143"/>
      <c r="B9" s="133"/>
      <c r="C9" s="50"/>
      <c r="D9" s="50"/>
      <c r="E9" s="50"/>
      <c r="F9" s="144"/>
      <c r="G9" s="144"/>
      <c r="H9" s="144"/>
      <c r="I9" s="144"/>
      <c r="J9" s="144"/>
      <c r="K9" s="144"/>
      <c r="L9" s="165"/>
    </row>
    <row r="10" spans="1:12" s="3" customFormat="1" ht="16.5" customHeight="1">
      <c r="A10" s="166" t="s">
        <v>483</v>
      </c>
      <c r="B10" s="26" t="s">
        <v>458</v>
      </c>
      <c r="C10" s="146">
        <v>17084</v>
      </c>
      <c r="D10" s="146">
        <v>17580</v>
      </c>
      <c r="E10" s="146">
        <v>20380</v>
      </c>
      <c r="F10" s="146">
        <v>8509</v>
      </c>
      <c r="G10" s="146">
        <v>5252</v>
      </c>
      <c r="H10" s="146">
        <v>5995</v>
      </c>
      <c r="I10" s="146">
        <v>5111</v>
      </c>
      <c r="J10" s="146">
        <v>3627</v>
      </c>
      <c r="K10" s="146">
        <v>4872</v>
      </c>
      <c r="L10" s="167">
        <v>100</v>
      </c>
    </row>
    <row r="11" spans="1:12" s="170" customFormat="1" ht="16.5" customHeight="1">
      <c r="A11" s="169"/>
      <c r="B11" s="148" t="s">
        <v>459</v>
      </c>
      <c r="C11" s="30">
        <v>-0.3</v>
      </c>
      <c r="D11" s="30">
        <v>2.9</v>
      </c>
      <c r="E11" s="30">
        <v>15.9</v>
      </c>
      <c r="F11" s="30">
        <v>-8.3</v>
      </c>
      <c r="G11" s="30">
        <v>18.2</v>
      </c>
      <c r="H11" s="30">
        <v>16.3</v>
      </c>
      <c r="I11" s="30">
        <v>19.4</v>
      </c>
      <c r="J11" s="30">
        <v>-9.6</v>
      </c>
      <c r="K11" s="30">
        <v>-7.2</v>
      </c>
      <c r="L11" s="167"/>
    </row>
    <row r="12" spans="1:12" s="3" customFormat="1" ht="16.5" customHeight="1">
      <c r="A12" s="171" t="s">
        <v>484</v>
      </c>
      <c r="B12" s="26"/>
      <c r="C12" s="173"/>
      <c r="D12" s="173"/>
      <c r="E12" s="173"/>
      <c r="F12" s="173"/>
      <c r="G12" s="173"/>
      <c r="H12" s="173"/>
      <c r="I12" s="173"/>
      <c r="J12" s="173"/>
      <c r="K12" s="173"/>
      <c r="L12" s="167"/>
    </row>
    <row r="13" spans="1:12" s="3" customFormat="1" ht="16.5" customHeight="1">
      <c r="A13" s="52" t="s">
        <v>466</v>
      </c>
      <c r="B13" s="26" t="s">
        <v>458</v>
      </c>
      <c r="C13" s="146">
        <v>8141</v>
      </c>
      <c r="D13" s="146">
        <v>8249</v>
      </c>
      <c r="E13" s="146">
        <v>9837</v>
      </c>
      <c r="F13" s="146">
        <v>3846</v>
      </c>
      <c r="G13" s="146">
        <v>2484</v>
      </c>
      <c r="H13" s="146">
        <v>3082</v>
      </c>
      <c r="I13" s="146">
        <v>2469</v>
      </c>
      <c r="J13" s="146">
        <v>1617</v>
      </c>
      <c r="K13" s="146">
        <v>2229</v>
      </c>
      <c r="L13" s="167">
        <v>45.8</v>
      </c>
    </row>
    <row r="14" spans="1:12" s="170" customFormat="1" ht="16.5" customHeight="1">
      <c r="A14" s="169"/>
      <c r="B14" s="148" t="s">
        <v>459</v>
      </c>
      <c r="C14" s="30">
        <v>5.1</v>
      </c>
      <c r="D14" s="30">
        <v>1.3</v>
      </c>
      <c r="E14" s="30">
        <v>19.2</v>
      </c>
      <c r="F14" s="30">
        <v>-10.2</v>
      </c>
      <c r="G14" s="30">
        <v>26</v>
      </c>
      <c r="H14" s="30">
        <v>18.7</v>
      </c>
      <c r="I14" s="30">
        <v>31.5</v>
      </c>
      <c r="J14" s="30">
        <v>-10.2</v>
      </c>
      <c r="K14" s="30">
        <v>-10.2</v>
      </c>
      <c r="L14" s="167"/>
    </row>
    <row r="15" spans="1:12" s="3" customFormat="1" ht="16.5" customHeight="1">
      <c r="A15" s="172"/>
      <c r="B15" s="26"/>
      <c r="C15" s="173"/>
      <c r="D15" s="173"/>
      <c r="E15" s="173"/>
      <c r="F15" s="173"/>
      <c r="G15" s="173"/>
      <c r="H15" s="173"/>
      <c r="I15" s="173"/>
      <c r="J15" s="173"/>
      <c r="K15" s="173"/>
      <c r="L15" s="167"/>
    </row>
    <row r="16" spans="1:12" s="3" customFormat="1" ht="16.5" customHeight="1">
      <c r="A16" s="52" t="s">
        <v>465</v>
      </c>
      <c r="B16" s="26" t="s">
        <v>458</v>
      </c>
      <c r="C16" s="146">
        <v>5210</v>
      </c>
      <c r="D16" s="146">
        <v>5304</v>
      </c>
      <c r="E16" s="146">
        <v>5790</v>
      </c>
      <c r="F16" s="146">
        <v>2365</v>
      </c>
      <c r="G16" s="146">
        <v>1490</v>
      </c>
      <c r="H16" s="146">
        <v>1605</v>
      </c>
      <c r="I16" s="146">
        <v>1383</v>
      </c>
      <c r="J16" s="146">
        <v>953</v>
      </c>
      <c r="K16" s="146">
        <v>1413</v>
      </c>
      <c r="L16" s="167">
        <v>29</v>
      </c>
    </row>
    <row r="17" spans="1:12" s="170" customFormat="1" ht="16.5" customHeight="1">
      <c r="A17" s="169"/>
      <c r="B17" s="148" t="s">
        <v>459</v>
      </c>
      <c r="C17" s="30">
        <v>-7.5</v>
      </c>
      <c r="D17" s="30">
        <v>1.8</v>
      </c>
      <c r="E17" s="30">
        <v>9.2</v>
      </c>
      <c r="F17" s="30">
        <v>-15.6</v>
      </c>
      <c r="G17" s="30">
        <v>11.6</v>
      </c>
      <c r="H17" s="30">
        <v>6.6</v>
      </c>
      <c r="I17" s="30">
        <v>-6</v>
      </c>
      <c r="J17" s="30">
        <v>-27.3</v>
      </c>
      <c r="K17" s="30">
        <v>-5.2</v>
      </c>
      <c r="L17" s="167"/>
    </row>
    <row r="18" spans="1:12" s="3" customFormat="1" ht="16.5" customHeight="1">
      <c r="A18" s="172"/>
      <c r="B18" s="26"/>
      <c r="C18" s="173"/>
      <c r="D18" s="173"/>
      <c r="E18" s="173"/>
      <c r="F18" s="173"/>
      <c r="G18" s="173"/>
      <c r="H18" s="173"/>
      <c r="I18" s="173"/>
      <c r="J18" s="173"/>
      <c r="K18" s="173"/>
      <c r="L18" s="167"/>
    </row>
    <row r="19" spans="1:12" s="3" customFormat="1" ht="16.5" customHeight="1">
      <c r="A19" s="52" t="s">
        <v>461</v>
      </c>
      <c r="B19" s="26" t="s">
        <v>458</v>
      </c>
      <c r="C19" s="146">
        <v>1157</v>
      </c>
      <c r="D19" s="146">
        <v>1617</v>
      </c>
      <c r="E19" s="146">
        <v>2080</v>
      </c>
      <c r="F19" s="146">
        <v>960</v>
      </c>
      <c r="G19" s="146">
        <v>598</v>
      </c>
      <c r="H19" s="146">
        <v>561</v>
      </c>
      <c r="I19" s="146">
        <v>588</v>
      </c>
      <c r="J19" s="146">
        <v>405</v>
      </c>
      <c r="K19" s="146">
        <v>554</v>
      </c>
      <c r="L19" s="167">
        <v>11.4</v>
      </c>
    </row>
    <row r="20" spans="1:12" s="170" customFormat="1" ht="16.5" customHeight="1">
      <c r="A20" s="169"/>
      <c r="B20" s="148" t="s">
        <v>459</v>
      </c>
      <c r="C20" s="30">
        <v>4.1</v>
      </c>
      <c r="D20" s="30">
        <v>39.7</v>
      </c>
      <c r="E20" s="30">
        <v>28.7</v>
      </c>
      <c r="F20" s="30">
        <v>3.1</v>
      </c>
      <c r="G20" s="30">
        <v>24.2</v>
      </c>
      <c r="H20" s="30">
        <v>30.4</v>
      </c>
      <c r="I20" s="30">
        <v>52.7</v>
      </c>
      <c r="J20" s="30">
        <v>21.7</v>
      </c>
      <c r="K20" s="30">
        <v>-7.3</v>
      </c>
      <c r="L20" s="167"/>
    </row>
    <row r="21" spans="1:12" s="3" customFormat="1" ht="16.5" customHeight="1">
      <c r="A21" s="172"/>
      <c r="B21" s="26"/>
      <c r="C21" s="173"/>
      <c r="D21" s="173"/>
      <c r="E21" s="173"/>
      <c r="F21" s="173"/>
      <c r="G21" s="173"/>
      <c r="H21" s="173"/>
      <c r="I21" s="173"/>
      <c r="J21" s="173"/>
      <c r="K21" s="173"/>
      <c r="L21" s="167"/>
    </row>
    <row r="22" spans="1:12" s="3" customFormat="1" ht="16.5" customHeight="1">
      <c r="A22" s="52" t="s">
        <v>462</v>
      </c>
      <c r="B22" s="26" t="s">
        <v>458</v>
      </c>
      <c r="C22" s="146">
        <v>1301</v>
      </c>
      <c r="D22" s="146">
        <v>1195</v>
      </c>
      <c r="E22" s="146">
        <v>1330</v>
      </c>
      <c r="F22" s="146">
        <v>637</v>
      </c>
      <c r="G22" s="146">
        <v>355</v>
      </c>
      <c r="H22" s="146">
        <v>337</v>
      </c>
      <c r="I22" s="146">
        <v>302</v>
      </c>
      <c r="J22" s="146">
        <v>302</v>
      </c>
      <c r="K22" s="146">
        <v>335</v>
      </c>
      <c r="L22" s="167">
        <v>6.9</v>
      </c>
    </row>
    <row r="23" spans="1:12" s="170" customFormat="1" ht="16.5" customHeight="1">
      <c r="A23" s="169"/>
      <c r="B23" s="148" t="s">
        <v>459</v>
      </c>
      <c r="C23" s="30">
        <v>-1.1</v>
      </c>
      <c r="D23" s="30">
        <v>-8.1</v>
      </c>
      <c r="E23" s="30">
        <v>11.3</v>
      </c>
      <c r="F23" s="30">
        <v>-7.8</v>
      </c>
      <c r="G23" s="30">
        <v>4.9</v>
      </c>
      <c r="H23" s="30">
        <v>11.3</v>
      </c>
      <c r="I23" s="30">
        <v>17.3</v>
      </c>
      <c r="J23" s="30">
        <v>-10.2</v>
      </c>
      <c r="K23" s="30">
        <v>-5.5</v>
      </c>
      <c r="L23" s="167"/>
    </row>
    <row r="24" spans="1:12" s="3" customFormat="1" ht="16.5" customHeight="1">
      <c r="A24" s="172"/>
      <c r="B24" s="26"/>
      <c r="C24" s="173"/>
      <c r="D24" s="173"/>
      <c r="E24" s="173"/>
      <c r="F24" s="173"/>
      <c r="G24" s="173"/>
      <c r="H24" s="173"/>
      <c r="I24" s="173"/>
      <c r="J24" s="173"/>
      <c r="K24" s="173"/>
      <c r="L24" s="167"/>
    </row>
    <row r="25" spans="1:12" s="3" customFormat="1" ht="16.5" customHeight="1">
      <c r="A25" s="8" t="s">
        <v>463</v>
      </c>
      <c r="B25" s="26" t="s">
        <v>458</v>
      </c>
      <c r="C25" s="146">
        <v>251</v>
      </c>
      <c r="D25" s="146">
        <v>214</v>
      </c>
      <c r="E25" s="146">
        <v>171</v>
      </c>
      <c r="F25" s="146">
        <v>64</v>
      </c>
      <c r="G25" s="146">
        <v>38</v>
      </c>
      <c r="H25" s="146">
        <v>52</v>
      </c>
      <c r="I25" s="146">
        <v>44</v>
      </c>
      <c r="J25" s="146">
        <v>38</v>
      </c>
      <c r="K25" s="146">
        <v>26</v>
      </c>
      <c r="L25" s="167">
        <v>0.5</v>
      </c>
    </row>
    <row r="26" spans="1:12" s="170" customFormat="1" ht="16.5" customHeight="1">
      <c r="A26" s="169"/>
      <c r="B26" s="148" t="s">
        <v>459</v>
      </c>
      <c r="C26" s="30">
        <v>1.8</v>
      </c>
      <c r="D26" s="30">
        <v>-14.7</v>
      </c>
      <c r="E26" s="30">
        <v>-20</v>
      </c>
      <c r="F26" s="30">
        <v>-14.9</v>
      </c>
      <c r="G26" s="30">
        <v>-16.6</v>
      </c>
      <c r="H26" s="30">
        <v>-6.4</v>
      </c>
      <c r="I26" s="30">
        <v>-18.4</v>
      </c>
      <c r="J26" s="30">
        <v>3.4</v>
      </c>
      <c r="K26" s="30">
        <v>-32.4</v>
      </c>
      <c r="L26" s="167"/>
    </row>
    <row r="27" spans="1:12" s="3" customFormat="1" ht="16.5" customHeight="1">
      <c r="A27" s="172"/>
      <c r="B27" s="26"/>
      <c r="C27" s="173"/>
      <c r="D27" s="173"/>
      <c r="E27" s="173"/>
      <c r="F27" s="173"/>
      <c r="G27" s="173"/>
      <c r="H27" s="173"/>
      <c r="I27" s="173"/>
      <c r="J27" s="173"/>
      <c r="K27" s="173"/>
      <c r="L27" s="167"/>
    </row>
    <row r="28" spans="1:12" s="3" customFormat="1" ht="16.5" customHeight="1">
      <c r="A28" s="52" t="s">
        <v>464</v>
      </c>
      <c r="B28" s="26" t="s">
        <v>458</v>
      </c>
      <c r="C28" s="146">
        <v>114</v>
      </c>
      <c r="D28" s="146">
        <v>112</v>
      </c>
      <c r="E28" s="146">
        <v>125</v>
      </c>
      <c r="F28" s="146">
        <v>60</v>
      </c>
      <c r="G28" s="146">
        <v>28</v>
      </c>
      <c r="H28" s="146">
        <v>28</v>
      </c>
      <c r="I28" s="146">
        <v>33</v>
      </c>
      <c r="J28" s="146">
        <v>30</v>
      </c>
      <c r="K28" s="146">
        <v>30</v>
      </c>
      <c r="L28" s="167">
        <v>0.6</v>
      </c>
    </row>
    <row r="29" spans="1:12" s="170" customFormat="1" ht="16.5" customHeight="1">
      <c r="A29" s="169"/>
      <c r="B29" s="148" t="s">
        <v>459</v>
      </c>
      <c r="C29" s="30">
        <v>-39.1</v>
      </c>
      <c r="D29" s="30">
        <v>-2.1</v>
      </c>
      <c r="E29" s="30">
        <v>11.6</v>
      </c>
      <c r="F29" s="30">
        <v>-6</v>
      </c>
      <c r="G29" s="30">
        <v>42</v>
      </c>
      <c r="H29" s="30">
        <v>-20.7</v>
      </c>
      <c r="I29" s="30">
        <v>1.7</v>
      </c>
      <c r="J29" s="30">
        <v>-17.2</v>
      </c>
      <c r="K29" s="30">
        <v>8.7</v>
      </c>
      <c r="L29" s="167"/>
    </row>
    <row r="30" spans="1:12" s="3" customFormat="1" ht="16.5" customHeight="1">
      <c r="A30" s="52"/>
      <c r="B30" s="26"/>
      <c r="C30" s="173"/>
      <c r="D30" s="173"/>
      <c r="E30" s="173"/>
      <c r="F30" s="173"/>
      <c r="G30" s="173"/>
      <c r="H30" s="173"/>
      <c r="I30" s="173"/>
      <c r="J30" s="173"/>
      <c r="K30" s="173"/>
      <c r="L30" s="167"/>
    </row>
    <row r="31" spans="1:12" s="3" customFormat="1" ht="16.5" customHeight="1">
      <c r="A31" s="52" t="s">
        <v>467</v>
      </c>
      <c r="B31" s="26"/>
      <c r="C31" s="173"/>
      <c r="D31" s="173"/>
      <c r="E31" s="173"/>
      <c r="F31" s="173"/>
      <c r="G31" s="173"/>
      <c r="H31" s="173"/>
      <c r="I31" s="173"/>
      <c r="J31" s="173"/>
      <c r="K31" s="173"/>
      <c r="L31" s="167"/>
    </row>
    <row r="32" spans="1:12" s="3" customFormat="1" ht="16.5" customHeight="1">
      <c r="A32" s="8" t="s">
        <v>485</v>
      </c>
      <c r="B32" s="26" t="s">
        <v>458</v>
      </c>
      <c r="C32" s="146">
        <v>13046</v>
      </c>
      <c r="D32" s="146">
        <v>12924</v>
      </c>
      <c r="E32" s="146">
        <v>14623</v>
      </c>
      <c r="F32" s="146">
        <v>5819</v>
      </c>
      <c r="G32" s="146">
        <v>3688</v>
      </c>
      <c r="H32" s="146">
        <v>4475</v>
      </c>
      <c r="I32" s="146">
        <v>3605</v>
      </c>
      <c r="J32" s="146">
        <v>2353</v>
      </c>
      <c r="K32" s="146">
        <v>3466</v>
      </c>
      <c r="L32" s="167">
        <v>71.1</v>
      </c>
    </row>
    <row r="33" spans="1:12" s="170" customFormat="1" ht="16.5" customHeight="1">
      <c r="A33" s="169"/>
      <c r="B33" s="148" t="s">
        <v>459</v>
      </c>
      <c r="C33" s="30">
        <v>-1.9</v>
      </c>
      <c r="D33" s="30">
        <v>-0.9</v>
      </c>
      <c r="E33" s="30">
        <v>13.1</v>
      </c>
      <c r="F33" s="30">
        <v>-11.1</v>
      </c>
      <c r="G33" s="30">
        <v>17.8</v>
      </c>
      <c r="H33" s="30">
        <v>13</v>
      </c>
      <c r="I33" s="30">
        <v>14.1</v>
      </c>
      <c r="J33" s="30">
        <v>-17.6</v>
      </c>
      <c r="K33" s="30">
        <v>-6</v>
      </c>
      <c r="L33" s="167"/>
    </row>
    <row r="34" spans="1:12" s="3" customFormat="1" ht="16.5" customHeight="1">
      <c r="A34" s="172"/>
      <c r="B34" s="26"/>
      <c r="C34" s="173"/>
      <c r="D34" s="173"/>
      <c r="E34" s="173"/>
      <c r="F34" s="173"/>
      <c r="G34" s="173"/>
      <c r="H34" s="173"/>
      <c r="I34" s="173"/>
      <c r="J34" s="173"/>
      <c r="K34" s="173"/>
      <c r="L34" s="167"/>
    </row>
    <row r="35" spans="1:12" s="3" customFormat="1" ht="16.5" customHeight="1">
      <c r="A35" s="8" t="s">
        <v>486</v>
      </c>
      <c r="B35" s="26" t="s">
        <v>458</v>
      </c>
      <c r="C35" s="146">
        <v>7617</v>
      </c>
      <c r="D35" s="146">
        <v>7578</v>
      </c>
      <c r="E35" s="146">
        <v>8260</v>
      </c>
      <c r="F35" s="146">
        <v>3205</v>
      </c>
      <c r="G35" s="146">
        <v>2045</v>
      </c>
      <c r="H35" s="146">
        <v>2663</v>
      </c>
      <c r="I35" s="146">
        <v>1997</v>
      </c>
      <c r="J35" s="146">
        <v>1239</v>
      </c>
      <c r="K35" s="146">
        <v>1966</v>
      </c>
      <c r="L35" s="167">
        <v>40.4</v>
      </c>
    </row>
    <row r="36" spans="1:12" s="170" customFormat="1" ht="16.5" customHeight="1">
      <c r="A36" s="169"/>
      <c r="B36" s="148" t="s">
        <v>459</v>
      </c>
      <c r="C36" s="30">
        <v>1.3</v>
      </c>
      <c r="D36" s="30">
        <v>-0.5</v>
      </c>
      <c r="E36" s="30">
        <v>9</v>
      </c>
      <c r="F36" s="30">
        <v>-11</v>
      </c>
      <c r="G36" s="30">
        <v>11.1</v>
      </c>
      <c r="H36" s="30">
        <v>6.2</v>
      </c>
      <c r="I36" s="30">
        <v>19.5</v>
      </c>
      <c r="J36" s="30">
        <v>-20.3</v>
      </c>
      <c r="K36" s="30">
        <v>-3.8</v>
      </c>
      <c r="L36" s="167"/>
    </row>
    <row r="37" spans="1:12" s="3" customFormat="1" ht="16.5" customHeight="1">
      <c r="A37" s="172"/>
      <c r="B37" s="26"/>
      <c r="C37" s="173"/>
      <c r="D37" s="173"/>
      <c r="E37" s="173"/>
      <c r="F37" s="173"/>
      <c r="G37" s="173"/>
      <c r="H37" s="173"/>
      <c r="I37" s="173"/>
      <c r="J37" s="173"/>
      <c r="K37" s="173"/>
      <c r="L37" s="167"/>
    </row>
    <row r="38" spans="1:12" s="3" customFormat="1" ht="16.5" customHeight="1">
      <c r="A38" s="176" t="s">
        <v>487</v>
      </c>
      <c r="B38" s="26" t="s">
        <v>458</v>
      </c>
      <c r="C38" s="146">
        <v>5429</v>
      </c>
      <c r="D38" s="146">
        <v>5347</v>
      </c>
      <c r="E38" s="146">
        <v>6363</v>
      </c>
      <c r="F38" s="146">
        <v>2614</v>
      </c>
      <c r="G38" s="146">
        <v>1643</v>
      </c>
      <c r="H38" s="146">
        <v>1812</v>
      </c>
      <c r="I38" s="146">
        <v>1608</v>
      </c>
      <c r="J38" s="146">
        <v>1114</v>
      </c>
      <c r="K38" s="146">
        <v>1499</v>
      </c>
      <c r="L38" s="167">
        <v>30.8</v>
      </c>
    </row>
    <row r="39" spans="1:12" s="170" customFormat="1" ht="16.5" customHeight="1">
      <c r="A39" s="169"/>
      <c r="B39" s="148" t="s">
        <v>459</v>
      </c>
      <c r="C39" s="30">
        <v>-6</v>
      </c>
      <c r="D39" s="30">
        <v>-1.5</v>
      </c>
      <c r="E39" s="30">
        <v>19</v>
      </c>
      <c r="F39" s="30">
        <v>-11.2</v>
      </c>
      <c r="G39" s="30">
        <v>27.4</v>
      </c>
      <c r="H39" s="30">
        <v>24.8</v>
      </c>
      <c r="I39" s="30">
        <v>8</v>
      </c>
      <c r="J39" s="30">
        <v>-14.3</v>
      </c>
      <c r="K39" s="30">
        <v>-8.7</v>
      </c>
      <c r="L39" s="167"/>
    </row>
    <row r="40" spans="1:12" s="3" customFormat="1" ht="16.5" customHeight="1">
      <c r="A40" s="172"/>
      <c r="B40" s="26"/>
      <c r="C40" s="173"/>
      <c r="D40" s="173"/>
      <c r="E40" s="173"/>
      <c r="F40" s="173"/>
      <c r="G40" s="173"/>
      <c r="H40" s="173"/>
      <c r="I40" s="173"/>
      <c r="J40" s="173"/>
      <c r="K40" s="173"/>
      <c r="L40" s="167"/>
    </row>
    <row r="41" spans="1:12" s="3" customFormat="1" ht="16.5" customHeight="1">
      <c r="A41" s="8" t="s">
        <v>488</v>
      </c>
      <c r="B41" s="26" t="s">
        <v>458</v>
      </c>
      <c r="C41" s="146">
        <v>1395</v>
      </c>
      <c r="D41" s="146">
        <v>1804</v>
      </c>
      <c r="E41" s="146">
        <v>2181</v>
      </c>
      <c r="F41" s="146">
        <v>1073</v>
      </c>
      <c r="G41" s="146">
        <v>689</v>
      </c>
      <c r="H41" s="146">
        <v>564</v>
      </c>
      <c r="I41" s="146">
        <v>514</v>
      </c>
      <c r="J41" s="146">
        <v>406</v>
      </c>
      <c r="K41" s="146">
        <v>668</v>
      </c>
      <c r="L41" s="167">
        <v>13.7</v>
      </c>
    </row>
    <row r="42" spans="1:12" s="170" customFormat="1" ht="16.5" customHeight="1">
      <c r="A42" s="169"/>
      <c r="B42" s="148" t="s">
        <v>459</v>
      </c>
      <c r="C42" s="30">
        <v>10.1</v>
      </c>
      <c r="D42" s="30">
        <v>29.3</v>
      </c>
      <c r="E42" s="30">
        <v>20.9</v>
      </c>
      <c r="F42" s="30">
        <v>-2.7</v>
      </c>
      <c r="G42" s="30">
        <v>21.4</v>
      </c>
      <c r="H42" s="30">
        <v>19.2</v>
      </c>
      <c r="I42" s="30">
        <v>28.5</v>
      </c>
      <c r="J42" s="30">
        <v>-2.1</v>
      </c>
      <c r="K42" s="30">
        <v>-3</v>
      </c>
      <c r="L42" s="167"/>
    </row>
    <row r="43" spans="1:12" s="3" customFormat="1" ht="16.5" customHeight="1">
      <c r="A43" s="172"/>
      <c r="B43" s="26"/>
      <c r="C43" s="173"/>
      <c r="D43" s="173"/>
      <c r="E43" s="173"/>
      <c r="F43" s="173"/>
      <c r="G43" s="173"/>
      <c r="H43" s="173"/>
      <c r="I43" s="173"/>
      <c r="J43" s="173"/>
      <c r="K43" s="173"/>
      <c r="L43" s="167"/>
    </row>
    <row r="44" spans="1:12" s="3" customFormat="1" ht="16.5" customHeight="1">
      <c r="A44" s="8" t="s">
        <v>489</v>
      </c>
      <c r="B44" s="26" t="s">
        <v>458</v>
      </c>
      <c r="C44" s="146">
        <v>601</v>
      </c>
      <c r="D44" s="146">
        <v>659</v>
      </c>
      <c r="E44" s="146">
        <v>889</v>
      </c>
      <c r="F44" s="146">
        <v>344</v>
      </c>
      <c r="G44" s="146">
        <v>198</v>
      </c>
      <c r="H44" s="146">
        <v>274</v>
      </c>
      <c r="I44" s="146">
        <v>278</v>
      </c>
      <c r="J44" s="146">
        <v>217</v>
      </c>
      <c r="K44" s="146">
        <v>126</v>
      </c>
      <c r="L44" s="167">
        <v>2.6</v>
      </c>
    </row>
    <row r="45" spans="1:12" s="170" customFormat="1" ht="16.5" customHeight="1">
      <c r="A45" s="169"/>
      <c r="B45" s="148" t="s">
        <v>459</v>
      </c>
      <c r="C45" s="30">
        <v>7.7</v>
      </c>
      <c r="D45" s="30">
        <v>9.6</v>
      </c>
      <c r="E45" s="30">
        <v>34.9</v>
      </c>
      <c r="F45" s="30">
        <v>1.7</v>
      </c>
      <c r="G45" s="30">
        <v>24.3</v>
      </c>
      <c r="H45" s="30">
        <v>42.8</v>
      </c>
      <c r="I45" s="30">
        <v>74.4</v>
      </c>
      <c r="J45" s="30">
        <v>55.5</v>
      </c>
      <c r="K45" s="30">
        <v>-36.3</v>
      </c>
      <c r="L45" s="167"/>
    </row>
    <row r="46" spans="1:12" s="3" customFormat="1" ht="16.5" customHeight="1">
      <c r="A46" s="172"/>
      <c r="B46" s="26"/>
      <c r="C46" s="173"/>
      <c r="D46" s="173"/>
      <c r="E46" s="173"/>
      <c r="F46" s="173"/>
      <c r="G46" s="173"/>
      <c r="H46" s="173"/>
      <c r="I46" s="173"/>
      <c r="J46" s="173"/>
      <c r="K46" s="173"/>
      <c r="L46" s="167"/>
    </row>
    <row r="47" spans="1:12" s="3" customFormat="1" ht="16.5" customHeight="1">
      <c r="A47" s="8" t="s">
        <v>490</v>
      </c>
      <c r="B47" s="26" t="s">
        <v>458</v>
      </c>
      <c r="C47" s="146">
        <v>383</v>
      </c>
      <c r="D47" s="146">
        <v>503</v>
      </c>
      <c r="E47" s="146">
        <v>641</v>
      </c>
      <c r="F47" s="146">
        <v>319</v>
      </c>
      <c r="G47" s="146">
        <v>139</v>
      </c>
      <c r="H47" s="146">
        <v>151</v>
      </c>
      <c r="I47" s="146">
        <v>167</v>
      </c>
      <c r="J47" s="146">
        <v>149</v>
      </c>
      <c r="K47" s="146">
        <v>170</v>
      </c>
      <c r="L47" s="167">
        <v>3.5</v>
      </c>
    </row>
    <row r="48" spans="1:12" s="170" customFormat="1" ht="16.5" customHeight="1">
      <c r="A48" s="169"/>
      <c r="B48" s="148" t="s">
        <v>459</v>
      </c>
      <c r="C48" s="30">
        <v>18.7</v>
      </c>
      <c r="D48" s="30">
        <v>31.2</v>
      </c>
      <c r="E48" s="30">
        <v>27.4</v>
      </c>
      <c r="F48" s="30">
        <v>-1.5</v>
      </c>
      <c r="G48" s="30">
        <v>7.7</v>
      </c>
      <c r="H48" s="30">
        <v>12.7</v>
      </c>
      <c r="I48" s="30">
        <v>19.8</v>
      </c>
      <c r="J48" s="30">
        <v>-19.3</v>
      </c>
      <c r="K48" s="30">
        <v>22.1</v>
      </c>
      <c r="L48" s="167"/>
    </row>
    <row r="49" spans="1:12" s="3" customFormat="1" ht="9.75" customHeight="1">
      <c r="A49" s="131"/>
      <c r="B49" s="182"/>
      <c r="C49" s="181"/>
      <c r="D49" s="181"/>
      <c r="E49" s="181"/>
      <c r="F49" s="181"/>
      <c r="G49" s="181"/>
      <c r="H49" s="181"/>
      <c r="I49" s="181"/>
      <c r="J49" s="181"/>
      <c r="K49" s="181"/>
      <c r="L49" s="160"/>
    </row>
    <row r="50" spans="2:11" s="3" customFormat="1" ht="4.5" customHeight="1">
      <c r="B50" s="183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s="3" customFormat="1" ht="16.5" customHeight="1">
      <c r="A51" s="158" t="s">
        <v>478</v>
      </c>
      <c r="B51" s="7"/>
      <c r="C51" s="2"/>
      <c r="G51" s="2"/>
      <c r="K51" s="2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V83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2.50390625" style="24" customWidth="1"/>
    <col min="2" max="2" width="10.375" style="7" customWidth="1"/>
    <col min="3" max="5" width="6.625" style="24" customWidth="1"/>
    <col min="6" max="6" width="7.625" style="24" customWidth="1"/>
    <col min="7" max="11" width="6.625" style="24" customWidth="1"/>
    <col min="12" max="12" width="7.625" style="24" customWidth="1"/>
    <col min="13" max="16384" width="9.00390625" style="24" customWidth="1"/>
  </cols>
  <sheetData>
    <row r="1" spans="1:11" s="3" customFormat="1" ht="15" customHeight="1">
      <c r="A1" s="4" t="s">
        <v>491</v>
      </c>
      <c r="B1" s="4"/>
      <c r="C1" s="2"/>
      <c r="G1" s="2"/>
      <c r="K1" s="2"/>
    </row>
    <row r="2" spans="1:11" s="3" customFormat="1" ht="15" customHeight="1">
      <c r="A2" s="4"/>
      <c r="B2" s="4"/>
      <c r="C2" s="2"/>
      <c r="G2" s="2"/>
      <c r="K2" s="2"/>
    </row>
    <row r="3" spans="1:11" s="3" customFormat="1" ht="15" customHeight="1">
      <c r="A3" s="4"/>
      <c r="B3" s="4"/>
      <c r="C3" s="2"/>
      <c r="G3" s="2"/>
      <c r="K3" s="2"/>
    </row>
    <row r="4" spans="1:11" s="3" customFormat="1" ht="15" customHeight="1">
      <c r="A4" s="2" t="s">
        <v>492</v>
      </c>
      <c r="B4" s="2"/>
      <c r="C4" s="2"/>
      <c r="G4" s="2"/>
      <c r="K4" s="2"/>
    </row>
    <row r="5" spans="1:12" s="3" customFormat="1" ht="15" customHeight="1">
      <c r="A5" s="7"/>
      <c r="B5" s="131"/>
      <c r="C5" s="8"/>
      <c r="D5" s="9"/>
      <c r="E5" s="9"/>
      <c r="F5" s="9"/>
      <c r="G5" s="8"/>
      <c r="H5" s="9"/>
      <c r="I5" s="9"/>
      <c r="J5" s="9"/>
      <c r="K5" s="8"/>
      <c r="L5" s="160"/>
    </row>
    <row r="6" spans="1:11" s="14" customFormat="1" ht="16.5" customHeight="1">
      <c r="A6" s="132"/>
      <c r="B6" s="10"/>
      <c r="C6" s="566">
        <v>1998</v>
      </c>
      <c r="D6" s="568">
        <v>1999</v>
      </c>
      <c r="E6" s="568">
        <v>2000</v>
      </c>
      <c r="F6" s="13">
        <v>2001</v>
      </c>
      <c r="G6" s="12">
        <v>2000</v>
      </c>
      <c r="H6" s="12">
        <v>2000</v>
      </c>
      <c r="I6" s="12">
        <v>2000</v>
      </c>
      <c r="J6" s="12">
        <v>2001</v>
      </c>
      <c r="K6" s="13">
        <v>2001</v>
      </c>
    </row>
    <row r="7" spans="1:12" s="14" customFormat="1" ht="16.5" customHeight="1">
      <c r="A7" s="143"/>
      <c r="B7" s="133"/>
      <c r="C7" s="572"/>
      <c r="D7" s="573"/>
      <c r="E7" s="573"/>
      <c r="F7" s="138" t="s">
        <v>481</v>
      </c>
      <c r="G7" s="139" t="s">
        <v>301</v>
      </c>
      <c r="H7" s="139" t="s">
        <v>302</v>
      </c>
      <c r="I7" s="139" t="s">
        <v>303</v>
      </c>
      <c r="J7" s="139" t="s">
        <v>304</v>
      </c>
      <c r="K7" s="161" t="s">
        <v>301</v>
      </c>
      <c r="L7" s="162" t="s">
        <v>482</v>
      </c>
    </row>
    <row r="8" spans="1:12" s="14" customFormat="1" ht="16.5" customHeight="1">
      <c r="A8" s="141"/>
      <c r="B8" s="15"/>
      <c r="C8" s="567"/>
      <c r="D8" s="569"/>
      <c r="E8" s="569"/>
      <c r="F8" s="142" t="s">
        <v>301</v>
      </c>
      <c r="G8" s="19"/>
      <c r="H8" s="19"/>
      <c r="I8" s="19"/>
      <c r="J8" s="19"/>
      <c r="K8" s="163"/>
      <c r="L8" s="181"/>
    </row>
    <row r="9" spans="1:12" s="14" customFormat="1" ht="9.75" customHeight="1">
      <c r="A9" s="143"/>
      <c r="B9" s="133"/>
      <c r="C9" s="50"/>
      <c r="D9" s="50"/>
      <c r="E9" s="50"/>
      <c r="F9" s="144"/>
      <c r="G9" s="144"/>
      <c r="H9" s="144"/>
      <c r="I9" s="144"/>
      <c r="J9" s="144"/>
      <c r="K9" s="144"/>
      <c r="L9" s="165"/>
    </row>
    <row r="10" spans="1:12" s="168" customFormat="1" ht="16.5" customHeight="1">
      <c r="A10" s="184" t="s">
        <v>493</v>
      </c>
      <c r="B10" s="26" t="s">
        <v>458</v>
      </c>
      <c r="C10" s="185">
        <v>14904</v>
      </c>
      <c r="D10" s="185">
        <v>15044</v>
      </c>
      <c r="E10" s="185">
        <v>17081</v>
      </c>
      <c r="F10" s="185">
        <v>6886</v>
      </c>
      <c r="G10" s="185">
        <v>4340</v>
      </c>
      <c r="H10" s="185">
        <v>5111</v>
      </c>
      <c r="I10" s="185">
        <v>4207</v>
      </c>
      <c r="J10" s="185">
        <v>2906</v>
      </c>
      <c r="K10" s="185">
        <v>3981</v>
      </c>
      <c r="L10" s="167">
        <v>100</v>
      </c>
    </row>
    <row r="11" spans="1:12" s="170" customFormat="1" ht="16.5" customHeight="1">
      <c r="A11" s="169"/>
      <c r="B11" s="148" t="s">
        <v>459</v>
      </c>
      <c r="C11" s="30">
        <v>-1</v>
      </c>
      <c r="D11" s="30">
        <v>0.9</v>
      </c>
      <c r="E11" s="30">
        <v>13.5</v>
      </c>
      <c r="F11" s="30">
        <v>-11.3</v>
      </c>
      <c r="G11" s="30">
        <v>18</v>
      </c>
      <c r="H11" s="30">
        <v>13.1</v>
      </c>
      <c r="I11" s="30">
        <v>13.6</v>
      </c>
      <c r="J11" s="30">
        <v>-15.1</v>
      </c>
      <c r="K11" s="30">
        <v>-8.3</v>
      </c>
      <c r="L11" s="167"/>
    </row>
    <row r="12" spans="1:12" s="3" customFormat="1" ht="16.5" customHeight="1">
      <c r="A12" s="172"/>
      <c r="B12" s="26"/>
      <c r="C12" s="173"/>
      <c r="D12" s="173"/>
      <c r="E12" s="173"/>
      <c r="F12" s="173"/>
      <c r="G12" s="173"/>
      <c r="H12" s="173"/>
      <c r="I12" s="173"/>
      <c r="J12" s="173"/>
      <c r="K12" s="173"/>
      <c r="L12" s="167"/>
    </row>
    <row r="13" spans="1:12" s="3" customFormat="1" ht="16.5" customHeight="1">
      <c r="A13" s="171" t="s">
        <v>494</v>
      </c>
      <c r="B13" s="26"/>
      <c r="C13" s="153"/>
      <c r="D13" s="153"/>
      <c r="E13" s="153"/>
      <c r="F13" s="153"/>
      <c r="G13" s="153"/>
      <c r="H13" s="153"/>
      <c r="I13" s="153"/>
      <c r="J13" s="153"/>
      <c r="K13" s="153"/>
      <c r="L13" s="167"/>
    </row>
    <row r="14" spans="1:12" s="3" customFormat="1" ht="16.5" customHeight="1">
      <c r="A14" s="52" t="s">
        <v>495</v>
      </c>
      <c r="B14" s="26" t="s">
        <v>458</v>
      </c>
      <c r="C14" s="185">
        <v>8113</v>
      </c>
      <c r="D14" s="185">
        <v>8213</v>
      </c>
      <c r="E14" s="185">
        <v>9716</v>
      </c>
      <c r="F14" s="185">
        <v>3797</v>
      </c>
      <c r="G14" s="185">
        <v>2460</v>
      </c>
      <c r="H14" s="185">
        <v>3040</v>
      </c>
      <c r="I14" s="185">
        <v>2423</v>
      </c>
      <c r="J14" s="185">
        <v>1588</v>
      </c>
      <c r="K14" s="185">
        <v>2209</v>
      </c>
      <c r="L14" s="167">
        <v>55.5</v>
      </c>
    </row>
    <row r="15" spans="1:12" s="170" customFormat="1" ht="16.5" customHeight="1">
      <c r="A15" s="169"/>
      <c r="B15" s="148" t="s">
        <v>459</v>
      </c>
      <c r="C15" s="30">
        <v>5.2</v>
      </c>
      <c r="D15" s="30">
        <v>1.2</v>
      </c>
      <c r="E15" s="30">
        <v>18.3</v>
      </c>
      <c r="F15" s="30">
        <v>-10.7</v>
      </c>
      <c r="G15" s="30">
        <v>25.2</v>
      </c>
      <c r="H15" s="30">
        <v>17.5</v>
      </c>
      <c r="I15" s="30">
        <v>29.5</v>
      </c>
      <c r="J15" s="30">
        <v>-11.4</v>
      </c>
      <c r="K15" s="30">
        <v>-10.2</v>
      </c>
      <c r="L15" s="167"/>
    </row>
    <row r="16" spans="1:12" s="3" customFormat="1" ht="16.5" customHeight="1">
      <c r="A16" s="172"/>
      <c r="B16" s="26"/>
      <c r="C16" s="173"/>
      <c r="D16" s="173"/>
      <c r="E16" s="173"/>
      <c r="F16" s="173"/>
      <c r="G16" s="173"/>
      <c r="H16" s="173"/>
      <c r="I16" s="173"/>
      <c r="J16" s="173"/>
      <c r="K16" s="173"/>
      <c r="L16" s="167"/>
    </row>
    <row r="17" spans="1:12" s="3" customFormat="1" ht="16.5" customHeight="1">
      <c r="A17" s="52" t="s">
        <v>496</v>
      </c>
      <c r="B17" s="26" t="s">
        <v>458</v>
      </c>
      <c r="C17" s="185">
        <v>5179</v>
      </c>
      <c r="D17" s="185">
        <v>5258</v>
      </c>
      <c r="E17" s="185">
        <v>5739</v>
      </c>
      <c r="F17" s="185">
        <v>2349</v>
      </c>
      <c r="G17" s="185">
        <v>1481</v>
      </c>
      <c r="H17" s="185">
        <v>1595</v>
      </c>
      <c r="I17" s="185">
        <v>1372</v>
      </c>
      <c r="J17" s="185">
        <v>942</v>
      </c>
      <c r="K17" s="185">
        <v>1407</v>
      </c>
      <c r="L17" s="167">
        <v>35.4</v>
      </c>
    </row>
    <row r="18" spans="1:12" s="170" customFormat="1" ht="16.5" customHeight="1">
      <c r="A18" s="169"/>
      <c r="B18" s="148" t="s">
        <v>459</v>
      </c>
      <c r="C18" s="30">
        <v>-7.7</v>
      </c>
      <c r="D18" s="30">
        <v>1.5</v>
      </c>
      <c r="E18" s="30">
        <v>9.2</v>
      </c>
      <c r="F18" s="30">
        <v>-15.3</v>
      </c>
      <c r="G18" s="30">
        <v>11.5</v>
      </c>
      <c r="H18" s="30">
        <v>6.6</v>
      </c>
      <c r="I18" s="30">
        <v>-5.7</v>
      </c>
      <c r="J18" s="30">
        <v>-27.1</v>
      </c>
      <c r="K18" s="30">
        <v>-4.9</v>
      </c>
      <c r="L18" s="167"/>
    </row>
    <row r="19" spans="1:12" s="3" customFormat="1" ht="16.5" customHeight="1">
      <c r="A19" s="172"/>
      <c r="B19" s="26"/>
      <c r="C19" s="173"/>
      <c r="D19" s="173"/>
      <c r="E19" s="173"/>
      <c r="F19" s="173"/>
      <c r="G19" s="173"/>
      <c r="H19" s="173"/>
      <c r="I19" s="173"/>
      <c r="J19" s="173"/>
      <c r="K19" s="173"/>
      <c r="L19" s="167"/>
    </row>
    <row r="20" spans="1:256" s="2" customFormat="1" ht="16.5" customHeight="1">
      <c r="A20" s="52" t="s">
        <v>497</v>
      </c>
      <c r="B20" s="26" t="s">
        <v>458</v>
      </c>
      <c r="C20" s="185">
        <v>76</v>
      </c>
      <c r="D20" s="185">
        <v>136</v>
      </c>
      <c r="E20" s="185">
        <v>125</v>
      </c>
      <c r="F20" s="185">
        <v>39</v>
      </c>
      <c r="G20" s="185">
        <v>38</v>
      </c>
      <c r="H20" s="185">
        <v>32</v>
      </c>
      <c r="I20" s="185">
        <v>26</v>
      </c>
      <c r="J20" s="185">
        <v>21</v>
      </c>
      <c r="K20" s="185">
        <v>19</v>
      </c>
      <c r="L20" s="167">
        <v>0.5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12" s="170" customFormat="1" ht="16.5" customHeight="1">
      <c r="A21" s="169"/>
      <c r="B21" s="148" t="s">
        <v>459</v>
      </c>
      <c r="C21" s="30">
        <v>-3</v>
      </c>
      <c r="D21" s="30">
        <v>80.1</v>
      </c>
      <c r="E21" s="30">
        <v>-8.6</v>
      </c>
      <c r="F21" s="30">
        <v>-40.6</v>
      </c>
      <c r="G21" s="30">
        <v>0</v>
      </c>
      <c r="H21" s="30">
        <v>-19.3</v>
      </c>
      <c r="I21" s="30">
        <v>-4.6</v>
      </c>
      <c r="J21" s="30">
        <v>-28.2</v>
      </c>
      <c r="K21" s="30">
        <v>-50.1</v>
      </c>
      <c r="L21" s="167"/>
    </row>
    <row r="22" spans="1:12" s="3" customFormat="1" ht="16.5" customHeight="1">
      <c r="A22" s="172"/>
      <c r="B22" s="26"/>
      <c r="C22" s="173"/>
      <c r="D22" s="173"/>
      <c r="E22" s="173"/>
      <c r="F22" s="173"/>
      <c r="G22" s="173"/>
      <c r="H22" s="173"/>
      <c r="I22" s="173"/>
      <c r="J22" s="173"/>
      <c r="K22" s="173"/>
      <c r="L22" s="167"/>
    </row>
    <row r="23" spans="1:256" s="2" customFormat="1" ht="16.5" customHeight="1">
      <c r="A23" s="52" t="s">
        <v>498</v>
      </c>
      <c r="B23" s="26" t="s">
        <v>458</v>
      </c>
      <c r="C23" s="185">
        <v>475</v>
      </c>
      <c r="D23" s="185">
        <v>471</v>
      </c>
      <c r="E23" s="185">
        <v>433</v>
      </c>
      <c r="F23" s="185">
        <v>163</v>
      </c>
      <c r="G23" s="185">
        <v>107</v>
      </c>
      <c r="H23" s="185">
        <v>113</v>
      </c>
      <c r="I23" s="185">
        <v>102</v>
      </c>
      <c r="J23" s="185">
        <v>82</v>
      </c>
      <c r="K23" s="185">
        <v>81</v>
      </c>
      <c r="L23" s="167">
        <v>2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12" s="170" customFormat="1" ht="16.5" customHeight="1">
      <c r="A24" s="169"/>
      <c r="B24" s="148" t="s">
        <v>459</v>
      </c>
      <c r="C24" s="30">
        <v>-16.6</v>
      </c>
      <c r="D24" s="30">
        <v>-0.7</v>
      </c>
      <c r="E24" s="30">
        <v>-8.1</v>
      </c>
      <c r="F24" s="30">
        <v>-25.3</v>
      </c>
      <c r="G24" s="30">
        <v>-10.8</v>
      </c>
      <c r="H24" s="30">
        <v>-2.8</v>
      </c>
      <c r="I24" s="30">
        <v>-4.1</v>
      </c>
      <c r="J24" s="30">
        <v>-26.2</v>
      </c>
      <c r="K24" s="167">
        <v>-24.3</v>
      </c>
      <c r="L24" s="167"/>
    </row>
    <row r="25" spans="1:12" s="3" customFormat="1" ht="16.5" customHeight="1">
      <c r="A25" s="172"/>
      <c r="B25" s="26"/>
      <c r="C25" s="173"/>
      <c r="D25" s="173"/>
      <c r="E25" s="173"/>
      <c r="F25" s="173"/>
      <c r="G25" s="173"/>
      <c r="H25" s="173"/>
      <c r="I25" s="173"/>
      <c r="J25" s="173"/>
      <c r="K25" s="173"/>
      <c r="L25" s="167"/>
    </row>
    <row r="26" spans="1:256" s="2" customFormat="1" ht="16.5" customHeight="1">
      <c r="A26" s="171" t="s">
        <v>499</v>
      </c>
      <c r="B26" s="26" t="s">
        <v>458</v>
      </c>
      <c r="C26" s="185">
        <v>217</v>
      </c>
      <c r="D26" s="185">
        <v>192</v>
      </c>
      <c r="E26" s="185">
        <v>142</v>
      </c>
      <c r="F26" s="185">
        <v>55</v>
      </c>
      <c r="G26" s="185">
        <v>28</v>
      </c>
      <c r="H26" s="185">
        <v>42</v>
      </c>
      <c r="I26" s="185">
        <v>39</v>
      </c>
      <c r="J26" s="185">
        <v>33</v>
      </c>
      <c r="K26" s="185">
        <v>22</v>
      </c>
      <c r="L26" s="167">
        <v>0.6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12" s="170" customFormat="1" ht="16.5" customHeight="1">
      <c r="A27" s="169"/>
      <c r="B27" s="148" t="s">
        <v>459</v>
      </c>
      <c r="C27" s="30">
        <v>-0.9</v>
      </c>
      <c r="D27" s="30">
        <v>-11.5</v>
      </c>
      <c r="E27" s="30">
        <v>-26.3</v>
      </c>
      <c r="F27" s="30">
        <v>-9.2</v>
      </c>
      <c r="G27" s="30">
        <v>-29.7</v>
      </c>
      <c r="H27" s="30">
        <v>-16.7</v>
      </c>
      <c r="I27" s="30">
        <v>-19.4</v>
      </c>
      <c r="J27" s="30">
        <v>2.3</v>
      </c>
      <c r="K27" s="30">
        <v>-22.4</v>
      </c>
      <c r="L27" s="167"/>
    </row>
    <row r="28" spans="1:256" s="2" customFormat="1" ht="16.5" customHeight="1">
      <c r="A28" s="52"/>
      <c r="B28" s="186"/>
      <c r="C28" s="173"/>
      <c r="D28" s="173"/>
      <c r="E28" s="173"/>
      <c r="F28" s="173"/>
      <c r="G28" s="173"/>
      <c r="H28" s="173"/>
      <c r="I28" s="173"/>
      <c r="J28" s="173"/>
      <c r="K28" s="173"/>
      <c r="L28" s="167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12" s="3" customFormat="1" ht="16.5" customHeight="1">
      <c r="A29" s="176" t="s">
        <v>500</v>
      </c>
      <c r="B29" s="26" t="s">
        <v>458</v>
      </c>
      <c r="C29" s="185">
        <v>105</v>
      </c>
      <c r="D29" s="185">
        <v>107</v>
      </c>
      <c r="E29" s="185">
        <v>121</v>
      </c>
      <c r="F29" s="185">
        <v>59</v>
      </c>
      <c r="G29" s="185">
        <v>27</v>
      </c>
      <c r="H29" s="185">
        <v>27</v>
      </c>
      <c r="I29" s="185">
        <v>32</v>
      </c>
      <c r="J29" s="185">
        <v>30</v>
      </c>
      <c r="K29" s="185">
        <v>29</v>
      </c>
      <c r="L29" s="167">
        <v>0.7</v>
      </c>
    </row>
    <row r="30" spans="1:12" s="170" customFormat="1" ht="16.5" customHeight="1">
      <c r="A30" s="169"/>
      <c r="B30" s="148" t="s">
        <v>459</v>
      </c>
      <c r="C30" s="30">
        <v>-36.5</v>
      </c>
      <c r="D30" s="30">
        <v>1.9</v>
      </c>
      <c r="E30" s="30">
        <v>13.6</v>
      </c>
      <c r="F30" s="30">
        <v>-5.7</v>
      </c>
      <c r="G30" s="30">
        <v>45.5</v>
      </c>
      <c r="H30" s="30">
        <v>-23.2</v>
      </c>
      <c r="I30" s="30">
        <v>0.1</v>
      </c>
      <c r="J30" s="30">
        <v>-17.1</v>
      </c>
      <c r="K30" s="30">
        <v>9.4</v>
      </c>
      <c r="L30" s="167"/>
    </row>
    <row r="31" spans="1:12" s="3" customFormat="1" ht="16.5" customHeight="1">
      <c r="A31" s="52"/>
      <c r="B31" s="26"/>
      <c r="C31" s="173"/>
      <c r="D31" s="173"/>
      <c r="E31" s="173"/>
      <c r="F31" s="173"/>
      <c r="G31" s="173"/>
      <c r="H31" s="173"/>
      <c r="I31" s="173"/>
      <c r="J31" s="173"/>
      <c r="K31" s="173"/>
      <c r="L31" s="167"/>
    </row>
    <row r="32" spans="1:12" s="3" customFormat="1" ht="16.5" customHeight="1">
      <c r="A32" s="52" t="s">
        <v>501</v>
      </c>
      <c r="B32" s="31"/>
      <c r="C32" s="153"/>
      <c r="D32" s="153"/>
      <c r="E32" s="153"/>
      <c r="F32" s="153"/>
      <c r="G32" s="153"/>
      <c r="H32" s="153"/>
      <c r="I32" s="153"/>
      <c r="J32" s="153"/>
      <c r="K32" s="153"/>
      <c r="L32" s="167"/>
    </row>
    <row r="33" spans="1:12" s="3" customFormat="1" ht="16.5" customHeight="1">
      <c r="A33" s="8" t="s">
        <v>502</v>
      </c>
      <c r="B33" s="26" t="s">
        <v>458</v>
      </c>
      <c r="C33" s="185">
        <v>13007</v>
      </c>
      <c r="D33" s="185">
        <v>12911</v>
      </c>
      <c r="E33" s="185">
        <v>14612</v>
      </c>
      <c r="F33" s="185">
        <v>5812</v>
      </c>
      <c r="G33" s="185">
        <v>3686</v>
      </c>
      <c r="H33" s="185">
        <v>4472</v>
      </c>
      <c r="I33" s="185">
        <v>3603</v>
      </c>
      <c r="J33" s="185">
        <v>2351</v>
      </c>
      <c r="K33" s="185">
        <v>3462</v>
      </c>
      <c r="L33" s="167">
        <v>87</v>
      </c>
    </row>
    <row r="34" spans="1:12" s="170" customFormat="1" ht="16.5" customHeight="1">
      <c r="A34" s="169"/>
      <c r="B34" s="148" t="s">
        <v>459</v>
      </c>
      <c r="C34" s="30">
        <v>-1.8</v>
      </c>
      <c r="D34" s="30">
        <v>-0.7</v>
      </c>
      <c r="E34" s="30">
        <v>13.2</v>
      </c>
      <c r="F34" s="30">
        <v>-11.1</v>
      </c>
      <c r="G34" s="30">
        <v>17.8</v>
      </c>
      <c r="H34" s="30">
        <v>13.1</v>
      </c>
      <c r="I34" s="30">
        <v>14.1</v>
      </c>
      <c r="J34" s="30">
        <v>-17.5</v>
      </c>
      <c r="K34" s="30">
        <v>-6.1</v>
      </c>
      <c r="L34" s="167"/>
    </row>
    <row r="35" spans="1:12" s="3" customFormat="1" ht="16.5" customHeight="1">
      <c r="A35" s="172"/>
      <c r="B35" s="26"/>
      <c r="C35" s="173"/>
      <c r="D35" s="173"/>
      <c r="E35" s="173"/>
      <c r="F35" s="173"/>
      <c r="G35" s="173"/>
      <c r="H35" s="173"/>
      <c r="I35" s="173"/>
      <c r="J35" s="173"/>
      <c r="K35" s="173"/>
      <c r="L35" s="167"/>
    </row>
    <row r="36" spans="1:12" s="3" customFormat="1" ht="16.5" customHeight="1">
      <c r="A36" s="8" t="s">
        <v>503</v>
      </c>
      <c r="B36" s="26" t="s">
        <v>458</v>
      </c>
      <c r="C36" s="185">
        <v>7589</v>
      </c>
      <c r="D36" s="185">
        <v>7569</v>
      </c>
      <c r="E36" s="185">
        <v>8253</v>
      </c>
      <c r="F36" s="185">
        <v>3202</v>
      </c>
      <c r="G36" s="185">
        <v>2043</v>
      </c>
      <c r="H36" s="185">
        <v>2661</v>
      </c>
      <c r="I36" s="185">
        <v>1996</v>
      </c>
      <c r="J36" s="185">
        <v>1238</v>
      </c>
      <c r="K36" s="185">
        <v>1964</v>
      </c>
      <c r="L36" s="167">
        <v>49.4</v>
      </c>
    </row>
    <row r="37" spans="1:12" s="170" customFormat="1" ht="16.5" customHeight="1">
      <c r="A37" s="169"/>
      <c r="B37" s="148" t="s">
        <v>459</v>
      </c>
      <c r="C37" s="30">
        <v>1.5</v>
      </c>
      <c r="D37" s="30">
        <v>-0.3</v>
      </c>
      <c r="E37" s="30">
        <v>9.1</v>
      </c>
      <c r="F37" s="30">
        <v>-10.9</v>
      </c>
      <c r="G37" s="30">
        <v>11.1</v>
      </c>
      <c r="H37" s="30">
        <v>6.2</v>
      </c>
      <c r="I37" s="30">
        <v>19.6</v>
      </c>
      <c r="J37" s="30">
        <v>-20.3</v>
      </c>
      <c r="K37" s="30">
        <v>-3.9</v>
      </c>
      <c r="L37" s="167"/>
    </row>
    <row r="38" spans="1:12" s="3" customFormat="1" ht="16.5" customHeight="1">
      <c r="A38" s="172"/>
      <c r="B38" s="26"/>
      <c r="C38" s="173"/>
      <c r="D38" s="173"/>
      <c r="E38" s="173"/>
      <c r="F38" s="173"/>
      <c r="G38" s="173"/>
      <c r="H38" s="173"/>
      <c r="I38" s="173"/>
      <c r="J38" s="173"/>
      <c r="K38" s="173"/>
      <c r="L38" s="167"/>
    </row>
    <row r="39" spans="1:12" s="3" customFormat="1" ht="16.5" customHeight="1">
      <c r="A39" s="176" t="s">
        <v>504</v>
      </c>
      <c r="B39" s="26" t="s">
        <v>458</v>
      </c>
      <c r="C39" s="185">
        <v>5417</v>
      </c>
      <c r="D39" s="185">
        <v>5342</v>
      </c>
      <c r="E39" s="185">
        <v>6358</v>
      </c>
      <c r="F39" s="185">
        <v>2610</v>
      </c>
      <c r="G39" s="185">
        <v>1642</v>
      </c>
      <c r="H39" s="185">
        <v>1811</v>
      </c>
      <c r="I39" s="185">
        <v>1607</v>
      </c>
      <c r="J39" s="185">
        <v>1113</v>
      </c>
      <c r="K39" s="185">
        <v>1497</v>
      </c>
      <c r="L39" s="167">
        <v>37.6</v>
      </c>
    </row>
    <row r="40" spans="1:12" s="170" customFormat="1" ht="16.5" customHeight="1">
      <c r="A40" s="169"/>
      <c r="B40" s="148" t="s">
        <v>459</v>
      </c>
      <c r="C40" s="30">
        <v>-6.1</v>
      </c>
      <c r="D40" s="30">
        <v>-1.4</v>
      </c>
      <c r="E40" s="30">
        <v>19</v>
      </c>
      <c r="F40" s="30">
        <v>-11.2</v>
      </c>
      <c r="G40" s="30">
        <v>27.4</v>
      </c>
      <c r="H40" s="30">
        <v>24.9</v>
      </c>
      <c r="I40" s="30">
        <v>8</v>
      </c>
      <c r="J40" s="30">
        <v>-14.3</v>
      </c>
      <c r="K40" s="30">
        <v>-8.8</v>
      </c>
      <c r="L40" s="167"/>
    </row>
    <row r="41" spans="1:12" s="3" customFormat="1" ht="16.5" customHeight="1">
      <c r="A41" s="172"/>
      <c r="B41" s="26"/>
      <c r="C41" s="173"/>
      <c r="D41" s="173"/>
      <c r="E41" s="173"/>
      <c r="F41" s="173"/>
      <c r="G41" s="173"/>
      <c r="H41" s="173"/>
      <c r="I41" s="173"/>
      <c r="J41" s="173"/>
      <c r="K41" s="173"/>
      <c r="L41" s="167"/>
    </row>
    <row r="42" spans="1:12" s="3" customFormat="1" ht="16.5" customHeight="1">
      <c r="A42" s="8" t="s">
        <v>505</v>
      </c>
      <c r="B42" s="26" t="s">
        <v>458</v>
      </c>
      <c r="C42" s="185">
        <v>232</v>
      </c>
      <c r="D42" s="185">
        <v>327</v>
      </c>
      <c r="E42" s="185">
        <v>243</v>
      </c>
      <c r="F42" s="185">
        <v>54</v>
      </c>
      <c r="G42" s="185">
        <v>78</v>
      </c>
      <c r="H42" s="185">
        <v>58</v>
      </c>
      <c r="I42" s="185">
        <v>29</v>
      </c>
      <c r="J42" s="185">
        <v>14</v>
      </c>
      <c r="K42" s="185">
        <v>40</v>
      </c>
      <c r="L42" s="167">
        <v>1</v>
      </c>
    </row>
    <row r="43" spans="1:12" s="170" customFormat="1" ht="16.5" customHeight="1">
      <c r="A43" s="169"/>
      <c r="B43" s="148" t="s">
        <v>459</v>
      </c>
      <c r="C43" s="30">
        <v>4.3</v>
      </c>
      <c r="D43" s="30">
        <v>40.6</v>
      </c>
      <c r="E43" s="30">
        <v>-25.8</v>
      </c>
      <c r="F43" s="30">
        <v>-65.4</v>
      </c>
      <c r="G43" s="30">
        <v>-15.5</v>
      </c>
      <c r="H43" s="30">
        <v>-44.4</v>
      </c>
      <c r="I43" s="30">
        <v>-50.7</v>
      </c>
      <c r="J43" s="30">
        <v>-82.7</v>
      </c>
      <c r="K43" s="30">
        <v>-48.1</v>
      </c>
      <c r="L43" s="167"/>
    </row>
    <row r="44" spans="1:12" s="3" customFormat="1" ht="16.5" customHeight="1">
      <c r="A44" s="172"/>
      <c r="B44" s="26"/>
      <c r="C44" s="173"/>
      <c r="D44" s="173"/>
      <c r="E44" s="173"/>
      <c r="F44" s="173"/>
      <c r="G44" s="173"/>
      <c r="H44" s="173"/>
      <c r="I44" s="173"/>
      <c r="J44" s="173"/>
      <c r="K44" s="173"/>
      <c r="L44" s="167"/>
    </row>
    <row r="45" spans="1:12" s="3" customFormat="1" ht="16.5" customHeight="1">
      <c r="A45" s="8" t="s">
        <v>506</v>
      </c>
      <c r="B45" s="26" t="s">
        <v>458</v>
      </c>
      <c r="C45" s="185">
        <v>388</v>
      </c>
      <c r="D45" s="185">
        <v>337</v>
      </c>
      <c r="E45" s="185">
        <v>418</v>
      </c>
      <c r="F45" s="185">
        <v>160</v>
      </c>
      <c r="G45" s="185">
        <v>98</v>
      </c>
      <c r="H45" s="185">
        <v>138</v>
      </c>
      <c r="I45" s="185">
        <v>120</v>
      </c>
      <c r="J45" s="185">
        <v>94</v>
      </c>
      <c r="K45" s="185">
        <v>66</v>
      </c>
      <c r="L45" s="167">
        <v>1.7</v>
      </c>
    </row>
    <row r="46" spans="1:12" s="170" customFormat="1" ht="16.5" customHeight="1">
      <c r="A46" s="169"/>
      <c r="B46" s="148" t="s">
        <v>459</v>
      </c>
      <c r="C46" s="30">
        <v>2.8</v>
      </c>
      <c r="D46" s="30">
        <v>-13.2</v>
      </c>
      <c r="E46" s="30">
        <v>24.1</v>
      </c>
      <c r="F46" s="30">
        <v>-0.5</v>
      </c>
      <c r="G46" s="30">
        <v>26</v>
      </c>
      <c r="H46" s="30">
        <v>60.7</v>
      </c>
      <c r="I46" s="30">
        <v>32</v>
      </c>
      <c r="J46" s="30">
        <v>49.7</v>
      </c>
      <c r="K46" s="30">
        <v>-32.8</v>
      </c>
      <c r="L46" s="167"/>
    </row>
    <row r="47" spans="1:12" s="3" customFormat="1" ht="16.5" customHeight="1">
      <c r="A47" s="172"/>
      <c r="B47" s="26"/>
      <c r="C47" s="173"/>
      <c r="D47" s="173"/>
      <c r="E47" s="173"/>
      <c r="F47" s="173"/>
      <c r="G47" s="173"/>
      <c r="H47" s="173"/>
      <c r="I47" s="173"/>
      <c r="J47" s="173"/>
      <c r="K47" s="173"/>
      <c r="L47" s="167"/>
    </row>
    <row r="48" spans="1:12" s="3" customFormat="1" ht="16.5" customHeight="1">
      <c r="A48" s="171" t="s">
        <v>507</v>
      </c>
      <c r="B48" s="26" t="s">
        <v>458</v>
      </c>
      <c r="C48" s="185">
        <v>378</v>
      </c>
      <c r="D48" s="185">
        <v>494</v>
      </c>
      <c r="E48" s="185">
        <v>634</v>
      </c>
      <c r="F48" s="185">
        <v>314</v>
      </c>
      <c r="G48" s="185">
        <v>138</v>
      </c>
      <c r="H48" s="185">
        <v>148</v>
      </c>
      <c r="I48" s="185">
        <v>166</v>
      </c>
      <c r="J48" s="185">
        <v>146</v>
      </c>
      <c r="K48" s="185">
        <v>169</v>
      </c>
      <c r="L48" s="167">
        <v>4.2</v>
      </c>
    </row>
    <row r="49" spans="1:12" s="170" customFormat="1" ht="16.5" customHeight="1">
      <c r="A49" s="169"/>
      <c r="B49" s="148" t="s">
        <v>459</v>
      </c>
      <c r="C49" s="30">
        <v>19.5</v>
      </c>
      <c r="D49" s="30">
        <v>30.9</v>
      </c>
      <c r="E49" s="30">
        <v>28.3</v>
      </c>
      <c r="F49" s="30">
        <v>-1.9</v>
      </c>
      <c r="G49" s="30">
        <v>8.9</v>
      </c>
      <c r="H49" s="30">
        <v>12.9</v>
      </c>
      <c r="I49" s="30">
        <v>20.4</v>
      </c>
      <c r="J49" s="30">
        <v>-20.1</v>
      </c>
      <c r="K49" s="30">
        <v>22.2</v>
      </c>
      <c r="L49" s="167"/>
    </row>
    <row r="50" spans="1:12" s="3" customFormat="1" ht="9.75" customHeight="1">
      <c r="A50" s="177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60"/>
    </row>
    <row r="51" spans="1:12" s="3" customFormat="1" ht="4.5" customHeight="1">
      <c r="A51" s="52"/>
      <c r="B51" s="52"/>
      <c r="C51" s="137"/>
      <c r="D51" s="137"/>
      <c r="E51" s="137"/>
      <c r="F51" s="137"/>
      <c r="G51" s="137"/>
      <c r="H51" s="137"/>
      <c r="I51" s="137"/>
      <c r="J51" s="137"/>
      <c r="K51" s="137"/>
      <c r="L51" s="2"/>
    </row>
    <row r="52" ht="16.5">
      <c r="A52" s="158" t="s">
        <v>478</v>
      </c>
    </row>
    <row r="81" spans="1:12" s="3" customFormat="1" ht="3.75" customHeight="1">
      <c r="A81" s="187"/>
      <c r="B81" s="182"/>
      <c r="C81" s="188"/>
      <c r="D81" s="188"/>
      <c r="E81" s="188"/>
      <c r="F81" s="189"/>
      <c r="G81" s="188"/>
      <c r="H81" s="188"/>
      <c r="I81" s="188"/>
      <c r="J81" s="188"/>
      <c r="K81" s="189"/>
      <c r="L81" s="160"/>
    </row>
    <row r="82" spans="2:12" ht="16.5">
      <c r="B82" s="183"/>
      <c r="L82" s="3"/>
    </row>
    <row r="83" ht="16.5">
      <c r="L83" s="3"/>
    </row>
  </sheetData>
  <mergeCells count="3"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85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5.75390625" style="3" customWidth="1"/>
    <col min="2" max="2" width="6.75390625" style="3" customWidth="1"/>
    <col min="3" max="3" width="7.125" style="3" customWidth="1"/>
    <col min="4" max="4" width="0.74609375" style="3" customWidth="1"/>
    <col min="5" max="5" width="7.125" style="3" customWidth="1"/>
    <col min="6" max="6" width="7.625" style="3" customWidth="1"/>
    <col min="7" max="7" width="7.125" style="3" customWidth="1"/>
    <col min="8" max="8" width="9.00390625" style="3" customWidth="1"/>
    <col min="9" max="13" width="7.125" style="3" customWidth="1"/>
    <col min="14" max="14" width="7.625" style="14" customWidth="1"/>
    <col min="15" max="16384" width="9.00390625" style="3" customWidth="1"/>
  </cols>
  <sheetData>
    <row r="1" spans="1:11" ht="15" customHeight="1">
      <c r="A1" s="4" t="s">
        <v>479</v>
      </c>
      <c r="B1" s="190"/>
      <c r="C1" s="2"/>
      <c r="G1" s="2"/>
      <c r="K1" s="2"/>
    </row>
    <row r="2" spans="1:11" ht="15" customHeight="1">
      <c r="A2" s="190"/>
      <c r="B2" s="190"/>
      <c r="C2" s="2"/>
      <c r="G2" s="2"/>
      <c r="K2" s="2"/>
    </row>
    <row r="3" spans="1:11" ht="15" customHeight="1">
      <c r="A3" s="190"/>
      <c r="B3" s="190"/>
      <c r="C3" s="2"/>
      <c r="G3" s="2"/>
      <c r="K3" s="2"/>
    </row>
    <row r="4" spans="1:11" ht="15" customHeight="1">
      <c r="A4" s="2" t="s">
        <v>508</v>
      </c>
      <c r="B4" s="2"/>
      <c r="C4" s="2"/>
      <c r="G4" s="2"/>
      <c r="K4" s="2"/>
    </row>
    <row r="5" spans="1:12" ht="15" customHeight="1">
      <c r="A5" s="2"/>
      <c r="B5" s="160"/>
      <c r="C5" s="8"/>
      <c r="D5" s="9"/>
      <c r="E5" s="9"/>
      <c r="F5" s="9"/>
      <c r="G5" s="8"/>
      <c r="H5" s="9"/>
      <c r="I5" s="9"/>
      <c r="J5" s="9"/>
      <c r="K5" s="8"/>
      <c r="L5" s="160"/>
    </row>
    <row r="6" spans="1:14" s="14" customFormat="1" ht="16.5" customHeight="1">
      <c r="A6" s="191"/>
      <c r="B6" s="191"/>
      <c r="C6" s="192"/>
      <c r="D6" s="193"/>
      <c r="E6" s="568">
        <v>1998</v>
      </c>
      <c r="F6" s="568">
        <v>1999</v>
      </c>
      <c r="G6" s="568">
        <v>2000</v>
      </c>
      <c r="H6" s="13">
        <v>2001</v>
      </c>
      <c r="I6" s="12">
        <v>2000</v>
      </c>
      <c r="J6" s="12">
        <v>2000</v>
      </c>
      <c r="K6" s="12">
        <v>2000</v>
      </c>
      <c r="L6" s="12">
        <v>2001</v>
      </c>
      <c r="M6" s="13">
        <v>2001</v>
      </c>
      <c r="N6" s="580" t="s">
        <v>482</v>
      </c>
    </row>
    <row r="7" spans="1:14" s="14" customFormat="1" ht="16.5" customHeight="1">
      <c r="A7" s="137"/>
      <c r="B7" s="137"/>
      <c r="C7" s="8"/>
      <c r="D7" s="31"/>
      <c r="E7" s="573"/>
      <c r="F7" s="573"/>
      <c r="G7" s="573"/>
      <c r="H7" s="138" t="s">
        <v>481</v>
      </c>
      <c r="I7" s="139" t="s">
        <v>301</v>
      </c>
      <c r="J7" s="139" t="s">
        <v>302</v>
      </c>
      <c r="K7" s="139" t="s">
        <v>303</v>
      </c>
      <c r="L7" s="139" t="s">
        <v>304</v>
      </c>
      <c r="M7" s="161" t="s">
        <v>301</v>
      </c>
      <c r="N7" s="581"/>
    </row>
    <row r="8" spans="1:14" s="14" customFormat="1" ht="16.5" customHeight="1">
      <c r="A8" s="179"/>
      <c r="B8" s="179"/>
      <c r="C8" s="187"/>
      <c r="D8" s="32"/>
      <c r="E8" s="569"/>
      <c r="F8" s="569"/>
      <c r="G8" s="569"/>
      <c r="H8" s="142" t="s">
        <v>301</v>
      </c>
      <c r="I8" s="17"/>
      <c r="J8" s="17"/>
      <c r="K8" s="17"/>
      <c r="L8" s="17"/>
      <c r="M8" s="18"/>
      <c r="N8" s="582"/>
    </row>
    <row r="9" spans="1:14" s="14" customFormat="1" ht="9.75" customHeight="1">
      <c r="A9" s="137"/>
      <c r="B9" s="137"/>
      <c r="C9" s="8"/>
      <c r="D9" s="31"/>
      <c r="E9" s="12"/>
      <c r="F9" s="50"/>
      <c r="G9" s="50"/>
      <c r="H9" s="12"/>
      <c r="I9" s="12"/>
      <c r="J9" s="12"/>
      <c r="K9" s="12"/>
      <c r="L9" s="12"/>
      <c r="M9" s="12"/>
      <c r="N9" s="165"/>
    </row>
    <row r="10" spans="1:14" ht="15" customHeight="1">
      <c r="A10" s="166" t="s">
        <v>509</v>
      </c>
      <c r="B10" s="574" t="s">
        <v>458</v>
      </c>
      <c r="C10" s="575"/>
      <c r="D10" s="194"/>
      <c r="E10" s="185">
        <v>2180</v>
      </c>
      <c r="F10" s="185">
        <v>2536</v>
      </c>
      <c r="G10" s="185">
        <v>3300</v>
      </c>
      <c r="H10" s="185">
        <v>1623</v>
      </c>
      <c r="I10" s="185">
        <v>912</v>
      </c>
      <c r="J10" s="185">
        <v>883</v>
      </c>
      <c r="K10" s="185">
        <v>904</v>
      </c>
      <c r="L10" s="185">
        <v>731</v>
      </c>
      <c r="M10" s="185">
        <v>891</v>
      </c>
      <c r="N10" s="167">
        <v>100</v>
      </c>
    </row>
    <row r="11" spans="2:14" s="170" customFormat="1" ht="15" customHeight="1">
      <c r="B11" s="576" t="s">
        <v>459</v>
      </c>
      <c r="C11" s="577"/>
      <c r="D11" s="195"/>
      <c r="E11" s="30">
        <v>4.8</v>
      </c>
      <c r="F11" s="30">
        <v>16.3</v>
      </c>
      <c r="G11" s="30">
        <v>30.1</v>
      </c>
      <c r="H11" s="30">
        <v>7.3</v>
      </c>
      <c r="I11" s="30">
        <v>18.8</v>
      </c>
      <c r="J11" s="30">
        <v>39.1</v>
      </c>
      <c r="K11" s="30">
        <v>55.8</v>
      </c>
      <c r="L11" s="30">
        <v>21.8</v>
      </c>
      <c r="M11" s="30">
        <v>-2.2</v>
      </c>
      <c r="N11" s="167"/>
    </row>
    <row r="12" spans="1:14" ht="15" customHeight="1">
      <c r="A12" s="153"/>
      <c r="B12" s="153"/>
      <c r="C12" s="8"/>
      <c r="D12" s="31"/>
      <c r="E12" s="155"/>
      <c r="F12" s="155"/>
      <c r="G12" s="155"/>
      <c r="H12" s="155"/>
      <c r="I12" s="155"/>
      <c r="J12" s="155"/>
      <c r="K12" s="155"/>
      <c r="L12" s="155"/>
      <c r="M12" s="155"/>
      <c r="N12" s="167"/>
    </row>
    <row r="13" spans="1:14" ht="15" customHeight="1">
      <c r="A13" s="171" t="s">
        <v>510</v>
      </c>
      <c r="B13" s="8"/>
      <c r="C13" s="8"/>
      <c r="D13" s="31"/>
      <c r="E13" s="155"/>
      <c r="F13" s="155"/>
      <c r="G13" s="155"/>
      <c r="H13" s="155"/>
      <c r="I13" s="155"/>
      <c r="J13" s="155"/>
      <c r="K13" s="155"/>
      <c r="L13" s="155"/>
      <c r="M13" s="155"/>
      <c r="N13" s="167"/>
    </row>
    <row r="14" spans="1:14" ht="15" customHeight="1">
      <c r="A14" s="52" t="s">
        <v>511</v>
      </c>
      <c r="B14" s="574" t="s">
        <v>458</v>
      </c>
      <c r="C14" s="575"/>
      <c r="D14" s="194"/>
      <c r="E14" s="185">
        <v>1081</v>
      </c>
      <c r="F14" s="185">
        <v>1480</v>
      </c>
      <c r="G14" s="185">
        <v>1955</v>
      </c>
      <c r="H14" s="185">
        <v>920</v>
      </c>
      <c r="I14" s="185">
        <v>560</v>
      </c>
      <c r="J14" s="185">
        <v>529</v>
      </c>
      <c r="K14" s="185">
        <v>562</v>
      </c>
      <c r="L14" s="185">
        <v>385</v>
      </c>
      <c r="M14" s="185">
        <v>536</v>
      </c>
      <c r="N14" s="167">
        <v>60.1</v>
      </c>
    </row>
    <row r="15" spans="1:14" s="170" customFormat="1" ht="15" customHeight="1">
      <c r="A15" s="196"/>
      <c r="B15" s="576" t="s">
        <v>459</v>
      </c>
      <c r="C15" s="577"/>
      <c r="D15" s="195"/>
      <c r="E15" s="30">
        <v>4.7</v>
      </c>
      <c r="F15" s="30">
        <v>36.9</v>
      </c>
      <c r="G15" s="30">
        <v>32.1</v>
      </c>
      <c r="H15" s="30">
        <v>6.5</v>
      </c>
      <c r="I15" s="30">
        <v>26.3</v>
      </c>
      <c r="J15" s="30">
        <v>35.5</v>
      </c>
      <c r="K15" s="30">
        <v>57</v>
      </c>
      <c r="L15" s="30">
        <v>26.4</v>
      </c>
      <c r="M15" s="30">
        <v>-4.4</v>
      </c>
      <c r="N15" s="167"/>
    </row>
    <row r="16" spans="1:14" ht="15" customHeight="1">
      <c r="A16" s="172"/>
      <c r="B16" s="153"/>
      <c r="C16" s="8"/>
      <c r="D16" s="31"/>
      <c r="E16" s="155"/>
      <c r="F16" s="155"/>
      <c r="G16" s="155"/>
      <c r="H16" s="155"/>
      <c r="I16" s="155"/>
      <c r="J16" s="155"/>
      <c r="K16" s="155"/>
      <c r="L16" s="155"/>
      <c r="M16" s="155"/>
      <c r="N16" s="167"/>
    </row>
    <row r="17" spans="1:14" ht="15" customHeight="1">
      <c r="A17" s="52" t="s">
        <v>512</v>
      </c>
      <c r="B17" s="574" t="s">
        <v>513</v>
      </c>
      <c r="C17" s="575"/>
      <c r="D17" s="194"/>
      <c r="E17" s="185">
        <v>826</v>
      </c>
      <c r="F17" s="185">
        <v>724</v>
      </c>
      <c r="G17" s="185">
        <v>897</v>
      </c>
      <c r="H17" s="185">
        <v>473</v>
      </c>
      <c r="I17" s="185">
        <v>247</v>
      </c>
      <c r="J17" s="185">
        <v>224</v>
      </c>
      <c r="K17" s="185">
        <v>201</v>
      </c>
      <c r="L17" s="185">
        <v>220</v>
      </c>
      <c r="M17" s="185">
        <v>254</v>
      </c>
      <c r="N17" s="167">
        <v>28.5</v>
      </c>
    </row>
    <row r="18" spans="1:14" s="170" customFormat="1" ht="15" customHeight="1">
      <c r="A18" s="196"/>
      <c r="B18" s="576" t="s">
        <v>514</v>
      </c>
      <c r="C18" s="577"/>
      <c r="D18" s="195"/>
      <c r="E18" s="30">
        <v>10.7</v>
      </c>
      <c r="F18" s="30">
        <v>-12.4</v>
      </c>
      <c r="G18" s="30">
        <v>23.9</v>
      </c>
      <c r="H18" s="30">
        <v>0.3</v>
      </c>
      <c r="I18" s="30">
        <v>13.6</v>
      </c>
      <c r="J18" s="30">
        <v>20.1</v>
      </c>
      <c r="K18" s="30">
        <v>32.1</v>
      </c>
      <c r="L18" s="30">
        <v>-2.2</v>
      </c>
      <c r="M18" s="167">
        <v>2.6</v>
      </c>
      <c r="N18" s="167"/>
    </row>
    <row r="19" spans="1:14" ht="15" customHeight="1">
      <c r="A19" s="172"/>
      <c r="B19" s="153"/>
      <c r="C19" s="8"/>
      <c r="D19" s="31"/>
      <c r="E19" s="155"/>
      <c r="F19" s="155"/>
      <c r="G19" s="155"/>
      <c r="H19" s="155"/>
      <c r="I19" s="155"/>
      <c r="J19" s="155"/>
      <c r="K19" s="155"/>
      <c r="L19" s="155"/>
      <c r="M19" s="155"/>
      <c r="N19" s="167"/>
    </row>
    <row r="20" spans="1:14" ht="15" customHeight="1">
      <c r="A20" s="52" t="s">
        <v>515</v>
      </c>
      <c r="B20" s="574" t="s">
        <v>513</v>
      </c>
      <c r="C20" s="575"/>
      <c r="D20" s="194"/>
      <c r="E20" s="185">
        <v>28</v>
      </c>
      <c r="F20" s="185">
        <v>36</v>
      </c>
      <c r="G20" s="185">
        <v>121</v>
      </c>
      <c r="H20" s="185">
        <v>49</v>
      </c>
      <c r="I20" s="185">
        <v>24</v>
      </c>
      <c r="J20" s="185">
        <v>42</v>
      </c>
      <c r="K20" s="185">
        <v>46</v>
      </c>
      <c r="L20" s="185">
        <v>29</v>
      </c>
      <c r="M20" s="185">
        <v>20</v>
      </c>
      <c r="N20" s="167">
        <v>2.3</v>
      </c>
    </row>
    <row r="21" spans="1:14" s="170" customFormat="1" ht="15" customHeight="1">
      <c r="A21" s="196"/>
      <c r="B21" s="576" t="s">
        <v>516</v>
      </c>
      <c r="C21" s="577"/>
      <c r="D21" s="195"/>
      <c r="E21" s="30">
        <v>-18</v>
      </c>
      <c r="F21" s="30">
        <v>30.2</v>
      </c>
      <c r="G21" s="30">
        <v>236.8</v>
      </c>
      <c r="H21" s="30">
        <v>50.6</v>
      </c>
      <c r="I21" s="30">
        <v>164.4</v>
      </c>
      <c r="J21" s="30">
        <v>352.9</v>
      </c>
      <c r="K21" s="30">
        <v>515</v>
      </c>
      <c r="L21" s="30">
        <v>239</v>
      </c>
      <c r="M21" s="30">
        <v>-16</v>
      </c>
      <c r="N21" s="167"/>
    </row>
    <row r="22" spans="1:14" ht="15" customHeight="1">
      <c r="A22" s="52"/>
      <c r="B22" s="153"/>
      <c r="C22" s="8"/>
      <c r="D22" s="31"/>
      <c r="E22" s="155"/>
      <c r="F22" s="155"/>
      <c r="G22" s="155"/>
      <c r="H22" s="155"/>
      <c r="I22" s="155"/>
      <c r="J22" s="155"/>
      <c r="K22" s="155"/>
      <c r="L22" s="155"/>
      <c r="M22" s="155"/>
      <c r="N22" s="167"/>
    </row>
    <row r="23" spans="1:14" ht="15" customHeight="1">
      <c r="A23" s="52" t="s">
        <v>517</v>
      </c>
      <c r="B23" s="8"/>
      <c r="C23" s="8"/>
      <c r="D23" s="31"/>
      <c r="E23" s="155"/>
      <c r="F23" s="155"/>
      <c r="G23" s="155"/>
      <c r="H23" s="155"/>
      <c r="I23" s="155"/>
      <c r="J23" s="155"/>
      <c r="K23" s="155"/>
      <c r="L23" s="155"/>
      <c r="M23" s="155"/>
      <c r="N23" s="167"/>
    </row>
    <row r="24" spans="1:14" ht="15" customHeight="1">
      <c r="A24" s="52" t="s">
        <v>518</v>
      </c>
      <c r="B24" s="574" t="s">
        <v>519</v>
      </c>
      <c r="C24" s="575"/>
      <c r="D24" s="194"/>
      <c r="E24" s="185">
        <v>303</v>
      </c>
      <c r="F24" s="185">
        <v>260</v>
      </c>
      <c r="G24" s="185">
        <v>212</v>
      </c>
      <c r="H24" s="185">
        <v>124</v>
      </c>
      <c r="I24" s="185">
        <v>43</v>
      </c>
      <c r="J24" s="185">
        <v>48</v>
      </c>
      <c r="K24" s="185">
        <v>59</v>
      </c>
      <c r="L24" s="185">
        <v>64</v>
      </c>
      <c r="M24" s="185">
        <v>60</v>
      </c>
      <c r="N24" s="167">
        <v>6.7</v>
      </c>
    </row>
    <row r="25" spans="1:14" s="170" customFormat="1" ht="15" customHeight="1">
      <c r="A25" s="196"/>
      <c r="B25" s="576" t="s">
        <v>520</v>
      </c>
      <c r="C25" s="577"/>
      <c r="D25" s="195"/>
      <c r="E25" s="30">
        <v>-1.5</v>
      </c>
      <c r="F25" s="30">
        <v>-13.9</v>
      </c>
      <c r="G25" s="30">
        <v>-18.8</v>
      </c>
      <c r="H25" s="30">
        <v>18.4</v>
      </c>
      <c r="I25" s="30">
        <v>-49</v>
      </c>
      <c r="J25" s="30">
        <v>-1.2</v>
      </c>
      <c r="K25" s="30">
        <v>18</v>
      </c>
      <c r="L25" s="30">
        <v>3.5</v>
      </c>
      <c r="M25" s="30">
        <v>39.9</v>
      </c>
      <c r="N25" s="167"/>
    </row>
    <row r="26" spans="1:14" ht="15" customHeight="1">
      <c r="A26" s="172"/>
      <c r="B26" s="153"/>
      <c r="C26" s="8"/>
      <c r="D26" s="31"/>
      <c r="E26" s="155"/>
      <c r="F26" s="155"/>
      <c r="G26" s="155"/>
      <c r="H26" s="155"/>
      <c r="I26" s="155"/>
      <c r="J26" s="155"/>
      <c r="K26" s="155"/>
      <c r="L26" s="155"/>
      <c r="M26" s="155"/>
      <c r="N26" s="167"/>
    </row>
    <row r="27" spans="1:14" ht="15" customHeight="1">
      <c r="A27" s="52" t="s">
        <v>521</v>
      </c>
      <c r="B27" s="574" t="s">
        <v>519</v>
      </c>
      <c r="C27" s="575"/>
      <c r="D27" s="194"/>
      <c r="E27" s="185">
        <v>131</v>
      </c>
      <c r="F27" s="185">
        <v>119</v>
      </c>
      <c r="G27" s="185">
        <v>43</v>
      </c>
      <c r="H27" s="185">
        <v>34</v>
      </c>
      <c r="I27" s="185">
        <v>11</v>
      </c>
      <c r="J27" s="185">
        <v>10</v>
      </c>
      <c r="K27" s="185">
        <v>12</v>
      </c>
      <c r="L27" s="185">
        <v>18</v>
      </c>
      <c r="M27" s="185">
        <v>17</v>
      </c>
      <c r="N27" s="167">
        <v>1.9</v>
      </c>
    </row>
    <row r="28" spans="1:14" s="170" customFormat="1" ht="15" customHeight="1">
      <c r="A28" s="196"/>
      <c r="B28" s="576" t="s">
        <v>520</v>
      </c>
      <c r="C28" s="577"/>
      <c r="D28" s="195"/>
      <c r="E28" s="30">
        <v>15.9</v>
      </c>
      <c r="F28" s="30">
        <v>-8.7</v>
      </c>
      <c r="G28" s="30">
        <v>-63.5</v>
      </c>
      <c r="H28" s="30">
        <v>61.4</v>
      </c>
      <c r="I28" s="30">
        <v>-78.5</v>
      </c>
      <c r="J28" s="30">
        <v>-31.3</v>
      </c>
      <c r="K28" s="30">
        <v>18.9</v>
      </c>
      <c r="L28" s="30">
        <v>72.4</v>
      </c>
      <c r="M28" s="30">
        <v>51.1</v>
      </c>
      <c r="N28" s="167"/>
    </row>
    <row r="29" spans="1:14" ht="15" customHeight="1">
      <c r="A29" s="153"/>
      <c r="B29" s="153"/>
      <c r="C29" s="8"/>
      <c r="D29" s="31"/>
      <c r="E29" s="155"/>
      <c r="F29" s="155"/>
      <c r="G29" s="155"/>
      <c r="H29" s="155"/>
      <c r="I29" s="155"/>
      <c r="J29" s="155"/>
      <c r="K29" s="155"/>
      <c r="L29" s="155"/>
      <c r="M29" s="155"/>
      <c r="N29" s="167"/>
    </row>
    <row r="30" spans="1:14" ht="15" customHeight="1" hidden="1">
      <c r="A30" s="8" t="s">
        <v>522</v>
      </c>
      <c r="B30" s="574" t="s">
        <v>458</v>
      </c>
      <c r="C30" s="575"/>
      <c r="D30" s="31"/>
      <c r="E30" s="155"/>
      <c r="F30" s="155"/>
      <c r="G30" s="155"/>
      <c r="H30" s="155"/>
      <c r="I30" s="155"/>
      <c r="J30" s="155"/>
      <c r="K30" s="155"/>
      <c r="L30" s="155"/>
      <c r="M30" s="155"/>
      <c r="N30" s="167"/>
    </row>
    <row r="31" spans="2:14" ht="15" customHeight="1" hidden="1">
      <c r="B31" s="574" t="s">
        <v>459</v>
      </c>
      <c r="C31" s="575"/>
      <c r="D31" s="31"/>
      <c r="E31" s="155"/>
      <c r="F31" s="155"/>
      <c r="G31" s="155"/>
      <c r="H31" s="155"/>
      <c r="I31" s="155"/>
      <c r="J31" s="155"/>
      <c r="K31" s="155"/>
      <c r="L31" s="155"/>
      <c r="M31" s="155"/>
      <c r="N31" s="167"/>
    </row>
    <row r="32" spans="1:14" ht="15" customHeight="1" hidden="1">
      <c r="A32" s="153"/>
      <c r="B32" s="153"/>
      <c r="C32" s="8"/>
      <c r="D32" s="31"/>
      <c r="E32" s="155"/>
      <c r="F32" s="155"/>
      <c r="G32" s="155"/>
      <c r="H32" s="155"/>
      <c r="I32" s="155"/>
      <c r="J32" s="155"/>
      <c r="K32" s="155"/>
      <c r="L32" s="155"/>
      <c r="M32" s="155"/>
      <c r="N32" s="167"/>
    </row>
    <row r="33" spans="1:14" ht="15" customHeight="1" hidden="1">
      <c r="A33" s="8" t="s">
        <v>523</v>
      </c>
      <c r="B33" s="8"/>
      <c r="C33" s="52" t="s">
        <v>458</v>
      </c>
      <c r="D33" s="31"/>
      <c r="E33" s="155"/>
      <c r="F33" s="155"/>
      <c r="G33" s="155"/>
      <c r="H33" s="155"/>
      <c r="I33" s="155"/>
      <c r="J33" s="155"/>
      <c r="K33" s="155"/>
      <c r="L33" s="155"/>
      <c r="M33" s="155"/>
      <c r="N33" s="167"/>
    </row>
    <row r="34" spans="3:14" ht="15" customHeight="1" hidden="1">
      <c r="C34" s="52" t="s">
        <v>459</v>
      </c>
      <c r="D34" s="31"/>
      <c r="E34" s="155"/>
      <c r="F34" s="155"/>
      <c r="G34" s="155"/>
      <c r="H34" s="155"/>
      <c r="I34" s="155"/>
      <c r="J34" s="155"/>
      <c r="K34" s="155"/>
      <c r="L34" s="155"/>
      <c r="M34" s="155"/>
      <c r="N34" s="167"/>
    </row>
    <row r="35" spans="1:14" ht="15" customHeight="1" hidden="1">
      <c r="A35" s="151" t="s">
        <v>524</v>
      </c>
      <c r="B35" s="9"/>
      <c r="C35" s="52" t="s">
        <v>458</v>
      </c>
      <c r="D35" s="31"/>
      <c r="E35" s="155"/>
      <c r="F35" s="155"/>
      <c r="G35" s="155"/>
      <c r="H35" s="155"/>
      <c r="I35" s="155"/>
      <c r="J35" s="155"/>
      <c r="K35" s="155"/>
      <c r="L35" s="155"/>
      <c r="M35" s="155"/>
      <c r="N35" s="167"/>
    </row>
    <row r="36" spans="3:14" ht="15" customHeight="1" hidden="1">
      <c r="C36" s="52" t="s">
        <v>459</v>
      </c>
      <c r="D36" s="31"/>
      <c r="E36" s="155"/>
      <c r="F36" s="155"/>
      <c r="G36" s="155"/>
      <c r="H36" s="155"/>
      <c r="I36" s="155"/>
      <c r="J36" s="155"/>
      <c r="K36" s="155"/>
      <c r="L36" s="155"/>
      <c r="M36" s="155"/>
      <c r="N36" s="167"/>
    </row>
    <row r="37" spans="1:14" ht="15" customHeight="1" hidden="1">
      <c r="A37" s="153"/>
      <c r="B37" s="153"/>
      <c r="C37" s="8"/>
      <c r="D37" s="31"/>
      <c r="E37" s="155"/>
      <c r="F37" s="155"/>
      <c r="G37" s="155"/>
      <c r="H37" s="155"/>
      <c r="I37" s="155"/>
      <c r="J37" s="155"/>
      <c r="K37" s="155"/>
      <c r="L37" s="155"/>
      <c r="M37" s="155"/>
      <c r="N37" s="167"/>
    </row>
    <row r="38" spans="1:14" s="9" customFormat="1" ht="15" customHeight="1">
      <c r="A38" s="8" t="s">
        <v>525</v>
      </c>
      <c r="B38" s="574" t="s">
        <v>458</v>
      </c>
      <c r="C38" s="575"/>
      <c r="D38" s="194"/>
      <c r="E38" s="185">
        <v>1528</v>
      </c>
      <c r="F38" s="185">
        <v>1854</v>
      </c>
      <c r="G38" s="185">
        <v>2399</v>
      </c>
      <c r="H38" s="185">
        <v>1228</v>
      </c>
      <c r="I38" s="185">
        <v>733</v>
      </c>
      <c r="J38" s="185">
        <v>622</v>
      </c>
      <c r="K38" s="185">
        <v>616</v>
      </c>
      <c r="L38" s="185">
        <v>497</v>
      </c>
      <c r="M38" s="185">
        <v>731</v>
      </c>
      <c r="N38" s="167">
        <v>82</v>
      </c>
    </row>
    <row r="39" spans="2:14" s="170" customFormat="1" ht="15" customHeight="1">
      <c r="B39" s="576" t="s">
        <v>459</v>
      </c>
      <c r="C39" s="577"/>
      <c r="D39" s="195"/>
      <c r="E39" s="30">
        <v>5.7</v>
      </c>
      <c r="F39" s="30">
        <v>21.3</v>
      </c>
      <c r="G39" s="30">
        <v>29.4</v>
      </c>
      <c r="H39" s="30">
        <v>5.7</v>
      </c>
      <c r="I39" s="30">
        <v>26.5</v>
      </c>
      <c r="J39" s="30">
        <v>35.6</v>
      </c>
      <c r="K39" s="30">
        <v>41.8</v>
      </c>
      <c r="L39" s="30">
        <v>16.2</v>
      </c>
      <c r="M39" s="30">
        <v>-0.4</v>
      </c>
      <c r="N39" s="167"/>
    </row>
    <row r="40" spans="1:14" ht="15" customHeight="1">
      <c r="A40" s="153"/>
      <c r="B40" s="153"/>
      <c r="C40" s="8"/>
      <c r="D40" s="31"/>
      <c r="E40" s="155"/>
      <c r="F40" s="155"/>
      <c r="G40" s="155"/>
      <c r="H40" s="155"/>
      <c r="I40" s="155"/>
      <c r="J40" s="155"/>
      <c r="K40" s="155"/>
      <c r="L40" s="155"/>
      <c r="M40" s="155"/>
      <c r="N40" s="167"/>
    </row>
    <row r="41" spans="1:14" ht="15" customHeight="1">
      <c r="A41" s="52" t="s">
        <v>474</v>
      </c>
      <c r="B41" s="574" t="s">
        <v>526</v>
      </c>
      <c r="C41" s="575"/>
      <c r="D41" s="194"/>
      <c r="E41" s="185">
        <v>1156</v>
      </c>
      <c r="F41" s="185">
        <v>1471</v>
      </c>
      <c r="G41" s="185">
        <v>1935</v>
      </c>
      <c r="H41" s="185">
        <v>1018</v>
      </c>
      <c r="I41" s="185">
        <v>610</v>
      </c>
      <c r="J41" s="185">
        <v>505</v>
      </c>
      <c r="K41" s="185">
        <v>484</v>
      </c>
      <c r="L41" s="185">
        <v>392</v>
      </c>
      <c r="M41" s="185">
        <v>626</v>
      </c>
      <c r="N41" s="167">
        <v>70.3</v>
      </c>
    </row>
    <row r="42" spans="2:14" s="170" customFormat="1" ht="15" customHeight="1">
      <c r="B42" s="576" t="s">
        <v>527</v>
      </c>
      <c r="C42" s="577"/>
      <c r="D42" s="195"/>
      <c r="E42" s="30">
        <v>11.7</v>
      </c>
      <c r="F42" s="30">
        <v>27.2</v>
      </c>
      <c r="G42" s="30">
        <v>31.5</v>
      </c>
      <c r="H42" s="30">
        <v>7.6</v>
      </c>
      <c r="I42" s="30">
        <v>28.7</v>
      </c>
      <c r="J42" s="30">
        <v>37.2</v>
      </c>
      <c r="K42" s="30">
        <v>38.7</v>
      </c>
      <c r="L42" s="30">
        <v>16.7</v>
      </c>
      <c r="M42" s="30">
        <v>2.6</v>
      </c>
      <c r="N42" s="167"/>
    </row>
    <row r="43" spans="1:14" ht="15" customHeight="1">
      <c r="A43" s="153"/>
      <c r="B43" s="153"/>
      <c r="C43" s="8"/>
      <c r="D43" s="31"/>
      <c r="E43" s="155"/>
      <c r="F43" s="155"/>
      <c r="G43" s="155"/>
      <c r="H43" s="155"/>
      <c r="I43" s="155"/>
      <c r="J43" s="155"/>
      <c r="K43" s="155"/>
      <c r="L43" s="155"/>
      <c r="M43" s="155"/>
      <c r="N43" s="167"/>
    </row>
    <row r="44" spans="1:14" ht="15" customHeight="1" hidden="1">
      <c r="A44" s="8" t="s">
        <v>528</v>
      </c>
      <c r="B44" s="8"/>
      <c r="C44" s="52" t="s">
        <v>526</v>
      </c>
      <c r="D44" s="31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3:14" ht="15" customHeight="1" hidden="1">
      <c r="C45" s="52" t="s">
        <v>527</v>
      </c>
      <c r="D45" s="31"/>
      <c r="E45" s="155"/>
      <c r="F45" s="155"/>
      <c r="G45" s="155"/>
      <c r="H45" s="155"/>
      <c r="I45" s="155"/>
      <c r="J45" s="155"/>
      <c r="K45" s="155"/>
      <c r="L45" s="155"/>
      <c r="M45" s="155"/>
      <c r="N45" s="167"/>
    </row>
    <row r="46" spans="1:14" ht="15" customHeight="1" hidden="1">
      <c r="A46" s="153"/>
      <c r="B46" s="153"/>
      <c r="C46" s="8"/>
      <c r="D46" s="31"/>
      <c r="E46" s="155"/>
      <c r="F46" s="155"/>
      <c r="G46" s="155"/>
      <c r="H46" s="155"/>
      <c r="I46" s="155"/>
      <c r="J46" s="155"/>
      <c r="K46" s="155"/>
      <c r="L46" s="155"/>
      <c r="M46" s="155"/>
      <c r="N46" s="167"/>
    </row>
    <row r="47" spans="1:14" s="9" customFormat="1" ht="15" customHeight="1" hidden="1">
      <c r="A47" s="8" t="s">
        <v>529</v>
      </c>
      <c r="B47" s="8"/>
      <c r="C47" s="52" t="s">
        <v>526</v>
      </c>
      <c r="D47" s="31"/>
      <c r="E47" s="155"/>
      <c r="F47" s="155"/>
      <c r="G47" s="155"/>
      <c r="H47" s="155"/>
      <c r="I47" s="155"/>
      <c r="J47" s="155"/>
      <c r="K47" s="155"/>
      <c r="L47" s="155"/>
      <c r="M47" s="155"/>
      <c r="N47" s="167"/>
    </row>
    <row r="48" spans="3:14" ht="15" customHeight="1" hidden="1">
      <c r="C48" s="52" t="s">
        <v>527</v>
      </c>
      <c r="D48" s="31"/>
      <c r="E48" s="155"/>
      <c r="F48" s="155"/>
      <c r="G48" s="155"/>
      <c r="H48" s="155"/>
      <c r="I48" s="155"/>
      <c r="J48" s="155"/>
      <c r="K48" s="155"/>
      <c r="L48" s="155"/>
      <c r="M48" s="155"/>
      <c r="N48" s="167"/>
    </row>
    <row r="49" spans="1:14" ht="15" customHeight="1" hidden="1">
      <c r="A49" s="153"/>
      <c r="B49" s="153"/>
      <c r="C49" s="8"/>
      <c r="D49" s="31"/>
      <c r="E49" s="155"/>
      <c r="F49" s="155"/>
      <c r="G49" s="155"/>
      <c r="H49" s="155"/>
      <c r="I49" s="155"/>
      <c r="J49" s="155"/>
      <c r="K49" s="155"/>
      <c r="L49" s="155"/>
      <c r="M49" s="155"/>
      <c r="N49" s="167"/>
    </row>
    <row r="50" spans="1:14" s="9" customFormat="1" ht="15" customHeight="1">
      <c r="A50" s="8" t="s">
        <v>530</v>
      </c>
      <c r="B50" s="574" t="s">
        <v>526</v>
      </c>
      <c r="C50" s="575"/>
      <c r="D50" s="194"/>
      <c r="E50" s="185">
        <v>66</v>
      </c>
      <c r="F50" s="185">
        <v>63</v>
      </c>
      <c r="G50" s="185">
        <v>138</v>
      </c>
      <c r="H50" s="185">
        <v>54</v>
      </c>
      <c r="I50" s="185">
        <v>27</v>
      </c>
      <c r="J50" s="185">
        <v>51</v>
      </c>
      <c r="K50" s="185">
        <v>40</v>
      </c>
      <c r="L50" s="185">
        <v>29</v>
      </c>
      <c r="M50" s="185">
        <v>25</v>
      </c>
      <c r="N50" s="167">
        <v>2.9</v>
      </c>
    </row>
    <row r="51" spans="2:14" s="170" customFormat="1" ht="15" customHeight="1">
      <c r="B51" s="576" t="s">
        <v>527</v>
      </c>
      <c r="C51" s="577"/>
      <c r="D51" s="195"/>
      <c r="E51" s="30">
        <v>-9.6</v>
      </c>
      <c r="F51" s="30">
        <v>-3.9</v>
      </c>
      <c r="G51" s="30">
        <v>117.3</v>
      </c>
      <c r="H51" s="30">
        <v>14.9</v>
      </c>
      <c r="I51" s="30">
        <v>113.5</v>
      </c>
      <c r="J51" s="30">
        <v>249.6</v>
      </c>
      <c r="K51" s="30">
        <v>99.2</v>
      </c>
      <c r="L51" s="30">
        <v>45.2</v>
      </c>
      <c r="M51" s="30">
        <v>-7.1</v>
      </c>
      <c r="N51" s="167"/>
    </row>
    <row r="52" spans="1:14" ht="15" customHeight="1">
      <c r="A52" s="153"/>
      <c r="B52" s="153"/>
      <c r="C52" s="8"/>
      <c r="D52" s="31"/>
      <c r="E52" s="155"/>
      <c r="F52" s="155"/>
      <c r="G52" s="155"/>
      <c r="H52" s="155"/>
      <c r="I52" s="155"/>
      <c r="J52" s="155"/>
      <c r="K52" s="155"/>
      <c r="L52" s="155"/>
      <c r="M52" s="155"/>
      <c r="N52" s="167"/>
    </row>
    <row r="53" spans="1:14" s="9" customFormat="1" ht="15" customHeight="1">
      <c r="A53" s="8" t="s">
        <v>531</v>
      </c>
      <c r="B53" s="574" t="s">
        <v>458</v>
      </c>
      <c r="C53" s="575"/>
      <c r="D53" s="194"/>
      <c r="E53" s="185">
        <v>283</v>
      </c>
      <c r="F53" s="185">
        <v>358</v>
      </c>
      <c r="G53" s="185">
        <v>551</v>
      </c>
      <c r="H53" s="185">
        <v>217</v>
      </c>
      <c r="I53" s="185">
        <v>108</v>
      </c>
      <c r="J53" s="185">
        <v>163</v>
      </c>
      <c r="K53" s="185">
        <v>189</v>
      </c>
      <c r="L53" s="185">
        <v>142</v>
      </c>
      <c r="M53" s="185">
        <v>75</v>
      </c>
      <c r="N53" s="167">
        <v>8.4</v>
      </c>
    </row>
    <row r="54" spans="2:14" s="170" customFormat="1" ht="15" customHeight="1">
      <c r="B54" s="576" t="s">
        <v>459</v>
      </c>
      <c r="C54" s="577"/>
      <c r="D54" s="195"/>
      <c r="E54" s="30">
        <v>11.3</v>
      </c>
      <c r="F54" s="30">
        <v>26.5</v>
      </c>
      <c r="G54" s="30">
        <v>54</v>
      </c>
      <c r="H54" s="30">
        <v>8.9</v>
      </c>
      <c r="I54" s="30">
        <v>18.9</v>
      </c>
      <c r="J54" s="30">
        <v>43.5</v>
      </c>
      <c r="K54" s="30">
        <v>149.3</v>
      </c>
      <c r="L54" s="30">
        <v>55.1</v>
      </c>
      <c r="M54" s="30">
        <v>-30.3</v>
      </c>
      <c r="N54" s="167"/>
    </row>
    <row r="55" spans="1:14" ht="9.75" customHeight="1">
      <c r="A55" s="160"/>
      <c r="B55" s="160"/>
      <c r="C55" s="160"/>
      <c r="D55" s="199"/>
      <c r="E55" s="160"/>
      <c r="F55" s="160"/>
      <c r="G55" s="160"/>
      <c r="H55" s="160"/>
      <c r="I55" s="160"/>
      <c r="J55" s="160"/>
      <c r="K55" s="160"/>
      <c r="L55" s="160"/>
      <c r="M55" s="160"/>
      <c r="N55" s="181"/>
    </row>
    <row r="58" spans="1:10" ht="15" customHeight="1">
      <c r="A58" s="2" t="s">
        <v>532</v>
      </c>
      <c r="B58" s="2"/>
      <c r="F58" s="2"/>
      <c r="J58" s="2"/>
    </row>
    <row r="59" spans="1:14" ht="15.7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N59" s="200" t="s">
        <v>533</v>
      </c>
    </row>
    <row r="60" spans="1:14" s="9" customFormat="1" ht="16.5" customHeight="1">
      <c r="A60" s="192"/>
      <c r="B60" s="192"/>
      <c r="D60" s="201"/>
      <c r="E60" s="202" t="s">
        <v>534</v>
      </c>
      <c r="F60" s="203"/>
      <c r="G60" s="202" t="s">
        <v>535</v>
      </c>
      <c r="H60" s="203"/>
      <c r="I60" s="202" t="s">
        <v>536</v>
      </c>
      <c r="J60" s="203"/>
      <c r="K60" s="202" t="s">
        <v>537</v>
      </c>
      <c r="L60" s="203"/>
      <c r="M60" s="578" t="s">
        <v>538</v>
      </c>
      <c r="N60" s="579"/>
    </row>
    <row r="61" spans="1:14" s="207" customFormat="1" ht="16.5" customHeight="1">
      <c r="A61" s="179"/>
      <c r="B61" s="179"/>
      <c r="C61" s="205"/>
      <c r="D61" s="206">
        <v>2000</v>
      </c>
      <c r="E61" s="179">
        <v>2000</v>
      </c>
      <c r="F61" s="179">
        <v>2001</v>
      </c>
      <c r="G61" s="179">
        <v>2000</v>
      </c>
      <c r="H61" s="179">
        <v>2001</v>
      </c>
      <c r="I61" s="179">
        <v>2000</v>
      </c>
      <c r="J61" s="179">
        <v>2001</v>
      </c>
      <c r="K61" s="179">
        <v>2000</v>
      </c>
      <c r="L61" s="179">
        <v>2001</v>
      </c>
      <c r="M61" s="179">
        <v>2000</v>
      </c>
      <c r="N61" s="179">
        <v>2001</v>
      </c>
    </row>
    <row r="62" spans="1:12" s="207" customFormat="1" ht="9.75" customHeight="1">
      <c r="A62" s="137"/>
      <c r="B62" s="137"/>
      <c r="C62" s="137"/>
      <c r="D62" s="208"/>
      <c r="E62" s="137"/>
      <c r="F62" s="137"/>
      <c r="G62" s="137"/>
      <c r="H62" s="137"/>
      <c r="I62" s="137"/>
      <c r="J62" s="137"/>
      <c r="K62" s="137"/>
      <c r="L62" s="137"/>
    </row>
    <row r="63" spans="1:14" s="9" customFormat="1" ht="15" customHeight="1">
      <c r="A63" s="209" t="s">
        <v>539</v>
      </c>
      <c r="B63" s="8"/>
      <c r="C63" s="8"/>
      <c r="D63" s="41"/>
      <c r="E63" s="8"/>
      <c r="F63" s="8"/>
      <c r="G63" s="8"/>
      <c r="H63" s="8"/>
      <c r="I63" s="8"/>
      <c r="J63" s="8"/>
      <c r="K63" s="8"/>
      <c r="L63" s="8"/>
      <c r="N63" s="207"/>
    </row>
    <row r="64" spans="1:14" s="9" customFormat="1" ht="3.75" customHeight="1">
      <c r="A64" s="8"/>
      <c r="B64" s="8"/>
      <c r="C64" s="8"/>
      <c r="D64" s="41"/>
      <c r="E64" s="8"/>
      <c r="F64" s="8"/>
      <c r="G64" s="8"/>
      <c r="H64" s="8"/>
      <c r="I64" s="8"/>
      <c r="J64" s="8"/>
      <c r="K64" s="8"/>
      <c r="L64" s="8"/>
      <c r="N64" s="207"/>
    </row>
    <row r="65" spans="1:14" s="9" customFormat="1" ht="15" customHeight="1">
      <c r="A65" s="52" t="s">
        <v>540</v>
      </c>
      <c r="B65" s="8"/>
      <c r="C65" s="8"/>
      <c r="D65" s="41"/>
      <c r="E65" s="116">
        <v>91.03892429506526</v>
      </c>
      <c r="F65" s="116">
        <v>91.55678119790205</v>
      </c>
      <c r="G65" s="210">
        <v>84.40791407973389</v>
      </c>
      <c r="H65" s="210">
        <v>84.8447136539023</v>
      </c>
      <c r="I65" s="210">
        <v>10.774680444707396</v>
      </c>
      <c r="J65" s="210">
        <v>6.191998068959791</v>
      </c>
      <c r="K65" s="210">
        <v>14.985819053768717</v>
      </c>
      <c r="L65" s="210">
        <v>24.188378109791824</v>
      </c>
      <c r="M65" s="210">
        <v>53.57135263335429</v>
      </c>
      <c r="N65" s="210">
        <v>45.50851212806727</v>
      </c>
    </row>
    <row r="66" spans="1:14" s="9" customFormat="1" ht="15" customHeight="1">
      <c r="A66" s="171" t="s">
        <v>541</v>
      </c>
      <c r="B66" s="8"/>
      <c r="C66" s="8"/>
      <c r="D66" s="41"/>
      <c r="E66" s="116">
        <v>53.767945154938126</v>
      </c>
      <c r="F66" s="116">
        <v>52.41042677630246</v>
      </c>
      <c r="G66" s="210">
        <v>40.49772906622144</v>
      </c>
      <c r="H66" s="210">
        <v>43.101848643842274</v>
      </c>
      <c r="I66" s="210">
        <v>9.249693986603578</v>
      </c>
      <c r="J66" s="210">
        <v>5.440173573812424</v>
      </c>
      <c r="K66" s="210">
        <v>8.843520361948608</v>
      </c>
      <c r="L66" s="210">
        <v>13.700285200045077</v>
      </c>
      <c r="M66" s="210">
        <v>42.16414183507263</v>
      </c>
      <c r="N66" s="210">
        <v>33.44033447211645</v>
      </c>
    </row>
    <row r="67" spans="1:14" s="9" customFormat="1" ht="15" customHeight="1">
      <c r="A67" s="171" t="s">
        <v>542</v>
      </c>
      <c r="B67" s="8"/>
      <c r="C67" s="8"/>
      <c r="D67" s="41"/>
      <c r="E67" s="116">
        <v>37.27097914012714</v>
      </c>
      <c r="F67" s="116">
        <v>39.14635442159959</v>
      </c>
      <c r="G67" s="210">
        <v>43.91018501351244</v>
      </c>
      <c r="H67" s="210">
        <v>41.74286501006003</v>
      </c>
      <c r="I67" s="210">
        <v>1.524986458103818</v>
      </c>
      <c r="J67" s="210">
        <v>0.7518244951473659</v>
      </c>
      <c r="K67" s="210">
        <v>6.142298691820111</v>
      </c>
      <c r="L67" s="210">
        <v>10.488092909746745</v>
      </c>
      <c r="M67" s="210">
        <v>11.407210798281662</v>
      </c>
      <c r="N67" s="210">
        <v>12.068177655950823</v>
      </c>
    </row>
    <row r="68" spans="1:14" s="9" customFormat="1" ht="15" customHeight="1">
      <c r="A68" s="52" t="s">
        <v>543</v>
      </c>
      <c r="B68" s="8"/>
      <c r="C68" s="8"/>
      <c r="D68" s="41"/>
      <c r="E68" s="116">
        <v>1.7115009570033053</v>
      </c>
      <c r="F68" s="116">
        <v>0.7113496171283633</v>
      </c>
      <c r="G68" s="210">
        <v>0.014409212515122227</v>
      </c>
      <c r="H68" s="210">
        <v>0.0017067717013142933</v>
      </c>
      <c r="I68" s="210">
        <v>12.682416829813139</v>
      </c>
      <c r="J68" s="210">
        <v>27.86362751032174</v>
      </c>
      <c r="K68" s="210">
        <v>32.485446659318434</v>
      </c>
      <c r="L68" s="210">
        <v>9.697075723345307</v>
      </c>
      <c r="M68" s="210">
        <v>0</v>
      </c>
      <c r="N68" s="210">
        <v>0</v>
      </c>
    </row>
    <row r="69" spans="1:14" s="9" customFormat="1" ht="15" customHeight="1">
      <c r="A69" s="52" t="s">
        <v>544</v>
      </c>
      <c r="B69" s="8"/>
      <c r="C69" s="8"/>
      <c r="D69" s="41"/>
      <c r="E69" s="116">
        <v>1.3438579793154501</v>
      </c>
      <c r="F69" s="116">
        <v>1.8541723180274514</v>
      </c>
      <c r="G69" s="210">
        <v>0.9982980671269084</v>
      </c>
      <c r="H69" s="210">
        <v>0.6493087096320241</v>
      </c>
      <c r="I69" s="210">
        <v>1.7362628469020986</v>
      </c>
      <c r="J69" s="210">
        <v>0.275991907052815</v>
      </c>
      <c r="K69" s="210">
        <v>12.880293125348045</v>
      </c>
      <c r="L69" s="210">
        <v>15.55703426814523</v>
      </c>
      <c r="M69" s="210">
        <v>8.108971792849182</v>
      </c>
      <c r="N69" s="210">
        <v>8.26173679701295</v>
      </c>
    </row>
    <row r="70" spans="1:14" s="9" customFormat="1" ht="15" customHeight="1">
      <c r="A70" s="52" t="s">
        <v>545</v>
      </c>
      <c r="B70" s="8"/>
      <c r="C70" s="8"/>
      <c r="D70" s="41"/>
      <c r="E70" s="116">
        <v>0.015795417659789188</v>
      </c>
      <c r="F70" s="116">
        <v>0.0649237606735433</v>
      </c>
      <c r="G70" s="210">
        <v>10.426256749030065</v>
      </c>
      <c r="H70" s="210">
        <v>11.663436979823388</v>
      </c>
      <c r="I70" s="210">
        <v>0</v>
      </c>
      <c r="J70" s="210">
        <v>0</v>
      </c>
      <c r="K70" s="210">
        <v>0.4338097489681567</v>
      </c>
      <c r="L70" s="210">
        <v>0.7626684287342258</v>
      </c>
      <c r="M70" s="210">
        <v>7.220750388174811</v>
      </c>
      <c r="N70" s="210">
        <v>13.512497778568425</v>
      </c>
    </row>
    <row r="71" spans="1:14" s="9" customFormat="1" ht="15" customHeight="1">
      <c r="A71" s="52" t="s">
        <v>546</v>
      </c>
      <c r="B71" s="8"/>
      <c r="C71" s="8"/>
      <c r="D71" s="41"/>
      <c r="E71" s="116">
        <v>5.889921350956193</v>
      </c>
      <c r="F71" s="116">
        <v>5.812773106268599</v>
      </c>
      <c r="G71" s="210">
        <v>4.153121891594027</v>
      </c>
      <c r="H71" s="210">
        <v>2.8408338849409707</v>
      </c>
      <c r="I71" s="210">
        <v>74.80663987857736</v>
      </c>
      <c r="J71" s="210">
        <v>65.66838251366565</v>
      </c>
      <c r="K71" s="210">
        <v>39.214631412596646</v>
      </c>
      <c r="L71" s="210">
        <v>49.79484346998341</v>
      </c>
      <c r="M71" s="210">
        <v>31.098925185621717</v>
      </c>
      <c r="N71" s="210">
        <v>32.71725329635136</v>
      </c>
    </row>
    <row r="72" spans="1:14" s="9" customFormat="1" ht="15" customHeight="1">
      <c r="A72" s="52" t="s">
        <v>547</v>
      </c>
      <c r="B72" s="211"/>
      <c r="C72" s="211"/>
      <c r="D72" s="41"/>
      <c r="E72" s="30">
        <v>100</v>
      </c>
      <c r="F72" s="30">
        <v>100</v>
      </c>
      <c r="G72" s="30">
        <v>100</v>
      </c>
      <c r="H72" s="30">
        <v>100</v>
      </c>
      <c r="I72" s="30">
        <v>100</v>
      </c>
      <c r="J72" s="30">
        <v>100</v>
      </c>
      <c r="K72" s="30">
        <v>100</v>
      </c>
      <c r="L72" s="30">
        <v>100</v>
      </c>
      <c r="M72" s="30">
        <v>100</v>
      </c>
      <c r="N72" s="30">
        <v>100</v>
      </c>
    </row>
    <row r="73" spans="1:14" s="9" customFormat="1" ht="15" customHeight="1">
      <c r="A73" s="8"/>
      <c r="B73" s="8"/>
      <c r="C73" s="8"/>
      <c r="D73" s="41"/>
      <c r="E73" s="53"/>
      <c r="F73" s="53"/>
      <c r="G73" s="53"/>
      <c r="H73" s="53"/>
      <c r="I73" s="53"/>
      <c r="J73" s="53"/>
      <c r="K73" s="53"/>
      <c r="L73" s="53"/>
      <c r="M73" s="212"/>
      <c r="N73" s="213"/>
    </row>
    <row r="74" spans="1:14" s="9" customFormat="1" ht="16.5" customHeight="1">
      <c r="A74" s="209" t="s">
        <v>548</v>
      </c>
      <c r="B74" s="8"/>
      <c r="C74" s="8"/>
      <c r="D74" s="41"/>
      <c r="E74" s="53"/>
      <c r="F74" s="53"/>
      <c r="G74" s="53"/>
      <c r="H74" s="53"/>
      <c r="I74" s="53"/>
      <c r="J74" s="53"/>
      <c r="K74" s="53"/>
      <c r="L74" s="53"/>
      <c r="M74" s="212"/>
      <c r="N74" s="213"/>
    </row>
    <row r="75" spans="1:14" s="9" customFormat="1" ht="3.75" customHeight="1">
      <c r="A75" s="8"/>
      <c r="B75" s="8"/>
      <c r="C75" s="8"/>
      <c r="D75" s="41"/>
      <c r="E75" s="53"/>
      <c r="F75" s="53"/>
      <c r="G75" s="53"/>
      <c r="H75" s="53"/>
      <c r="I75" s="53"/>
      <c r="J75" s="53"/>
      <c r="K75" s="53"/>
      <c r="L75" s="53"/>
      <c r="M75" s="212"/>
      <c r="N75" s="213"/>
    </row>
    <row r="76" spans="1:14" s="9" customFormat="1" ht="15" customHeight="1">
      <c r="A76" s="52" t="s">
        <v>549</v>
      </c>
      <c r="B76" s="8"/>
      <c r="C76" s="8"/>
      <c r="D76" s="41"/>
      <c r="E76" s="116">
        <v>6.43457914267865</v>
      </c>
      <c r="F76" s="116">
        <v>14.970170285110946</v>
      </c>
      <c r="G76" s="116">
        <v>9.117580767331463</v>
      </c>
      <c r="H76" s="210">
        <v>12.367229183087291</v>
      </c>
      <c r="I76" s="210">
        <v>2.7104149461925005</v>
      </c>
      <c r="J76" s="210">
        <v>3.4336901674354525</v>
      </c>
      <c r="K76" s="210">
        <v>13.960073443811366</v>
      </c>
      <c r="L76" s="210">
        <v>15.206351097694167</v>
      </c>
      <c r="M76" s="210">
        <v>14.623136307876585</v>
      </c>
      <c r="N76" s="210">
        <v>13.886031112317895</v>
      </c>
    </row>
    <row r="77" spans="1:14" s="9" customFormat="1" ht="15" customHeight="1">
      <c r="A77" s="52" t="s">
        <v>550</v>
      </c>
      <c r="B77" s="8"/>
      <c r="C77" s="8"/>
      <c r="D77" s="41"/>
      <c r="E77" s="116">
        <v>0.23526443085219048</v>
      </c>
      <c r="F77" s="116">
        <v>0.00041798423265172995</v>
      </c>
      <c r="G77" s="210">
        <v>0</v>
      </c>
      <c r="H77" s="210">
        <v>0.6705530319710508</v>
      </c>
      <c r="I77" s="210">
        <v>0.5976313588081659</v>
      </c>
      <c r="J77" s="210">
        <v>0.8495632591523907</v>
      </c>
      <c r="K77" s="210">
        <v>2.024259173380436</v>
      </c>
      <c r="L77" s="210">
        <v>4.118486391072425</v>
      </c>
      <c r="M77" s="210">
        <v>4.220748263476924</v>
      </c>
      <c r="N77" s="210">
        <v>4.220748263476924</v>
      </c>
    </row>
    <row r="78" spans="1:14" s="9" customFormat="1" ht="15" customHeight="1">
      <c r="A78" s="52" t="s">
        <v>551</v>
      </c>
      <c r="B78" s="8"/>
      <c r="C78" s="8"/>
      <c r="D78" s="41"/>
      <c r="E78" s="116">
        <v>40.94692419391468</v>
      </c>
      <c r="F78" s="116">
        <v>27.048874725718157</v>
      </c>
      <c r="G78" s="210">
        <v>79.8953867689243</v>
      </c>
      <c r="H78" s="210">
        <v>74.52243702200701</v>
      </c>
      <c r="I78" s="210">
        <v>83.77048500314375</v>
      </c>
      <c r="J78" s="210">
        <v>85.34769954851005</v>
      </c>
      <c r="K78" s="210">
        <v>75.50864324838425</v>
      </c>
      <c r="L78" s="210">
        <v>75.44153387114845</v>
      </c>
      <c r="M78" s="210">
        <v>58.63971204059213</v>
      </c>
      <c r="N78" s="210">
        <v>54.80511252438396</v>
      </c>
    </row>
    <row r="79" spans="1:14" s="9" customFormat="1" ht="15" customHeight="1">
      <c r="A79" s="52" t="s">
        <v>552</v>
      </c>
      <c r="B79" s="8"/>
      <c r="C79" s="8"/>
      <c r="D79" s="41"/>
      <c r="E79" s="116">
        <v>0.1449336313467725</v>
      </c>
      <c r="F79" s="116">
        <v>0.1829605132651399</v>
      </c>
      <c r="G79" s="210">
        <v>2.8351820845219606</v>
      </c>
      <c r="H79" s="210">
        <v>12.873124469157904</v>
      </c>
      <c r="I79" s="210">
        <v>74.3291389073375</v>
      </c>
      <c r="J79" s="210">
        <v>76.4643325849266</v>
      </c>
      <c r="K79" s="210">
        <v>57.84533962972039</v>
      </c>
      <c r="L79" s="210">
        <v>59.045239615451216</v>
      </c>
      <c r="M79" s="210">
        <v>31.185099559077656</v>
      </c>
      <c r="N79" s="210">
        <v>26.84664291604186</v>
      </c>
    </row>
    <row r="80" spans="1:14" s="9" customFormat="1" ht="15" customHeight="1">
      <c r="A80" s="52" t="s">
        <v>553</v>
      </c>
      <c r="B80" s="8"/>
      <c r="C80" s="8"/>
      <c r="D80" s="41"/>
      <c r="E80" s="116">
        <v>0</v>
      </c>
      <c r="F80" s="116">
        <v>0</v>
      </c>
      <c r="G80" s="210">
        <v>0</v>
      </c>
      <c r="H80" s="210">
        <v>0</v>
      </c>
      <c r="I80" s="210">
        <v>0.0035751830375306</v>
      </c>
      <c r="J80" s="210">
        <v>0.03186687116320623</v>
      </c>
      <c r="K80" s="210">
        <v>0.002016552690351138</v>
      </c>
      <c r="L80" s="210">
        <v>0.018138176621898927</v>
      </c>
      <c r="M80" s="210">
        <v>0</v>
      </c>
      <c r="N80" s="210">
        <v>0.07357827131654962</v>
      </c>
    </row>
    <row r="81" spans="1:14" s="9" customFormat="1" ht="15" customHeight="1">
      <c r="A81" s="52" t="s">
        <v>554</v>
      </c>
      <c r="B81" s="8"/>
      <c r="C81" s="8"/>
      <c r="D81" s="41"/>
      <c r="E81" s="116">
        <v>52.61849666340667</v>
      </c>
      <c r="F81" s="116">
        <v>57.9809549891709</v>
      </c>
      <c r="G81" s="210">
        <v>10.987032463744239</v>
      </c>
      <c r="H81" s="210">
        <v>13.1103337949057</v>
      </c>
      <c r="I81" s="210">
        <v>13.515524867626224</v>
      </c>
      <c r="J81" s="210">
        <v>11.186743412891296</v>
      </c>
      <c r="K81" s="210">
        <v>10.5</v>
      </c>
      <c r="L81" s="210">
        <v>9.333976854535484</v>
      </c>
      <c r="M81" s="210">
        <v>26.73715165153128</v>
      </c>
      <c r="N81" s="210">
        <v>31.235278091981595</v>
      </c>
    </row>
    <row r="82" spans="1:14" s="9" customFormat="1" ht="15" customHeight="1">
      <c r="A82" s="52" t="s">
        <v>547</v>
      </c>
      <c r="B82" s="211"/>
      <c r="C82" s="211"/>
      <c r="D82" s="41"/>
      <c r="E82" s="214">
        <v>100</v>
      </c>
      <c r="F82" s="30">
        <v>100</v>
      </c>
      <c r="G82" s="30">
        <v>100</v>
      </c>
      <c r="H82" s="30">
        <v>100</v>
      </c>
      <c r="I82" s="30">
        <v>100</v>
      </c>
      <c r="J82" s="30">
        <v>100</v>
      </c>
      <c r="K82" s="30">
        <v>100</v>
      </c>
      <c r="L82" s="30">
        <v>100</v>
      </c>
      <c r="M82" s="30">
        <v>100</v>
      </c>
      <c r="N82" s="30">
        <v>100</v>
      </c>
    </row>
    <row r="83" spans="1:14" ht="9.75" customHeight="1">
      <c r="A83" s="160"/>
      <c r="B83" s="160"/>
      <c r="C83" s="160"/>
      <c r="D83" s="215"/>
      <c r="E83" s="160"/>
      <c r="F83" s="160"/>
      <c r="G83" s="160"/>
      <c r="H83" s="160"/>
      <c r="I83" s="160"/>
      <c r="J83" s="160"/>
      <c r="K83" s="160"/>
      <c r="L83" s="160"/>
      <c r="M83" s="160"/>
      <c r="N83" s="181"/>
    </row>
    <row r="84" ht="4.5" customHeight="1"/>
    <row r="85" ht="15.75">
      <c r="A85" s="158" t="s">
        <v>478</v>
      </c>
    </row>
  </sheetData>
  <mergeCells count="27">
    <mergeCell ref="E6:E8"/>
    <mergeCell ref="F6:F8"/>
    <mergeCell ref="G6:G8"/>
    <mergeCell ref="N6:N8"/>
    <mergeCell ref="B10:C10"/>
    <mergeCell ref="B11:C11"/>
    <mergeCell ref="B14:C14"/>
    <mergeCell ref="B15:C15"/>
    <mergeCell ref="B17:C17"/>
    <mergeCell ref="B18:C18"/>
    <mergeCell ref="B20:C20"/>
    <mergeCell ref="B21:C21"/>
    <mergeCell ref="B24:C24"/>
    <mergeCell ref="B25:C25"/>
    <mergeCell ref="B27:C27"/>
    <mergeCell ref="B28:C28"/>
    <mergeCell ref="B30:C30"/>
    <mergeCell ref="B31:C31"/>
    <mergeCell ref="B38:C38"/>
    <mergeCell ref="B39:C39"/>
    <mergeCell ref="B53:C53"/>
    <mergeCell ref="B54:C54"/>
    <mergeCell ref="M60:N60"/>
    <mergeCell ref="B41:C41"/>
    <mergeCell ref="B42:C42"/>
    <mergeCell ref="B50:C50"/>
    <mergeCell ref="B51:C5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44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6.625" style="23" customWidth="1"/>
    <col min="2" max="2" width="8.625" style="3" customWidth="1"/>
    <col min="3" max="3" width="7.875" style="3" customWidth="1"/>
    <col min="4" max="4" width="8.25390625" style="3" customWidth="1"/>
    <col min="5" max="5" width="9.50390625" style="3" customWidth="1"/>
    <col min="6" max="6" width="8.00390625" style="3" customWidth="1"/>
    <col min="7" max="7" width="8.625" style="3" customWidth="1"/>
    <col min="8" max="8" width="8.00390625" style="3" customWidth="1"/>
    <col min="9" max="9" width="7.50390625" style="3" customWidth="1"/>
    <col min="10" max="10" width="8.50390625" style="2" customWidth="1"/>
    <col min="11" max="16384" width="9.00390625" style="24" customWidth="1"/>
  </cols>
  <sheetData>
    <row r="1" spans="1:10" s="3" customFormat="1" ht="18" customHeight="1">
      <c r="A1" s="4" t="s">
        <v>479</v>
      </c>
      <c r="B1" s="2"/>
      <c r="F1" s="2"/>
      <c r="J1" s="2"/>
    </row>
    <row r="2" spans="1:10" s="3" customFormat="1" ht="18" customHeight="1">
      <c r="A2" s="4"/>
      <c r="B2" s="2"/>
      <c r="F2" s="2"/>
      <c r="J2" s="2"/>
    </row>
    <row r="3" spans="1:10" s="3" customFormat="1" ht="18" customHeight="1">
      <c r="A3" s="4"/>
      <c r="B3" s="2"/>
      <c r="F3" s="2"/>
      <c r="J3" s="2"/>
    </row>
    <row r="4" spans="1:10" s="3" customFormat="1" ht="18" customHeight="1">
      <c r="A4" s="5" t="s">
        <v>555</v>
      </c>
      <c r="B4" s="2"/>
      <c r="F4" s="2"/>
      <c r="J4" s="2"/>
    </row>
    <row r="5" spans="1:10" s="3" customFormat="1" ht="18" customHeight="1">
      <c r="A5" s="7"/>
      <c r="B5" s="8"/>
      <c r="C5" s="9"/>
      <c r="D5" s="9"/>
      <c r="E5" s="9"/>
      <c r="F5" s="8"/>
      <c r="G5" s="9"/>
      <c r="H5" s="9"/>
      <c r="I5" s="9"/>
      <c r="J5" s="153" t="s">
        <v>556</v>
      </c>
    </row>
    <row r="6" spans="1:10" s="14" customFormat="1" ht="15.75" customHeight="1">
      <c r="A6" s="132"/>
      <c r="B6" s="566">
        <v>1998</v>
      </c>
      <c r="C6" s="568">
        <v>1999</v>
      </c>
      <c r="D6" s="568">
        <v>2000</v>
      </c>
      <c r="E6" s="13">
        <v>2001</v>
      </c>
      <c r="F6" s="12">
        <v>2000</v>
      </c>
      <c r="G6" s="12">
        <v>2000</v>
      </c>
      <c r="H6" s="12">
        <v>2000</v>
      </c>
      <c r="I6" s="12">
        <v>2001</v>
      </c>
      <c r="J6" s="12">
        <v>2001</v>
      </c>
    </row>
    <row r="7" spans="1:10" s="14" customFormat="1" ht="15.75" customHeight="1">
      <c r="A7" s="143"/>
      <c r="B7" s="572"/>
      <c r="C7" s="573"/>
      <c r="D7" s="573"/>
      <c r="E7" s="138" t="s">
        <v>481</v>
      </c>
      <c r="F7" s="139" t="s">
        <v>301</v>
      </c>
      <c r="G7" s="139" t="s">
        <v>302</v>
      </c>
      <c r="H7" s="139" t="s">
        <v>303</v>
      </c>
      <c r="I7" s="139" t="s">
        <v>304</v>
      </c>
      <c r="J7" s="140" t="s">
        <v>301</v>
      </c>
    </row>
    <row r="8" spans="1:10" s="14" customFormat="1" ht="15.75" customHeight="1">
      <c r="A8" s="15"/>
      <c r="B8" s="567"/>
      <c r="C8" s="569"/>
      <c r="D8" s="569"/>
      <c r="E8" s="142" t="s">
        <v>301</v>
      </c>
      <c r="F8" s="17"/>
      <c r="G8" s="17"/>
      <c r="H8" s="17"/>
      <c r="I8" s="17"/>
      <c r="J8" s="17"/>
    </row>
    <row r="9" spans="1:10" s="14" customFormat="1" ht="7.5" customHeight="1">
      <c r="A9" s="143"/>
      <c r="B9" s="64"/>
      <c r="C9" s="50"/>
      <c r="D9" s="50"/>
      <c r="E9" s="50"/>
      <c r="F9" s="50"/>
      <c r="G9" s="50"/>
      <c r="H9" s="50"/>
      <c r="I9" s="50"/>
      <c r="J9" s="50"/>
    </row>
    <row r="10" spans="1:10" ht="18" customHeight="1">
      <c r="A10" s="216" t="s">
        <v>557</v>
      </c>
      <c r="B10" s="217">
        <f>7706674/1000</f>
        <v>7706.674</v>
      </c>
      <c r="C10" s="157">
        <f>7778767.2/1000</f>
        <v>7778.7672</v>
      </c>
      <c r="D10" s="218">
        <f>9110394/1000</f>
        <v>9110.394</v>
      </c>
      <c r="E10" s="218">
        <f>3503219/1000</f>
        <v>3503.219</v>
      </c>
      <c r="F10" s="218">
        <f>2261853.7/1000</f>
        <v>2261.8537</v>
      </c>
      <c r="G10" s="218">
        <f>2871767.3/1000</f>
        <v>2871.7673</v>
      </c>
      <c r="H10" s="218">
        <f>2294638.8/1000</f>
        <v>2294.6387999999997</v>
      </c>
      <c r="I10" s="218">
        <f>1404658.7/1000</f>
        <v>1404.6587</v>
      </c>
      <c r="J10" s="218">
        <f>2098560.3/1000</f>
        <v>2098.5602999999996</v>
      </c>
    </row>
    <row r="11" spans="1:10" ht="18" customHeight="1">
      <c r="A11" s="219" t="s">
        <v>558</v>
      </c>
      <c r="B11" s="217"/>
      <c r="C11" s="157"/>
      <c r="D11" s="218"/>
      <c r="E11" s="218"/>
      <c r="F11" s="218"/>
      <c r="G11" s="218"/>
      <c r="H11" s="218"/>
      <c r="I11" s="218"/>
      <c r="J11" s="218"/>
    </row>
    <row r="12" spans="2:9" ht="18" customHeight="1">
      <c r="B12" s="220"/>
      <c r="C12" s="2"/>
      <c r="D12" s="2"/>
      <c r="E12" s="2"/>
      <c r="F12" s="2"/>
      <c r="G12" s="2"/>
      <c r="H12" s="2"/>
      <c r="I12" s="2"/>
    </row>
    <row r="13" spans="1:10" ht="19.5" customHeight="1">
      <c r="A13" s="52" t="s">
        <v>559</v>
      </c>
      <c r="B13" s="221">
        <f>6429421.3/1000</f>
        <v>6429.4213</v>
      </c>
      <c r="C13" s="222">
        <f>6416301.3/1000</f>
        <v>6416.3013</v>
      </c>
      <c r="D13" s="218">
        <f>7260184.9/1000</f>
        <v>7260.1849</v>
      </c>
      <c r="E13" s="218">
        <f>2785291.3/1000</f>
        <v>2785.2913</v>
      </c>
      <c r="F13" s="218">
        <f>1772258.5/1000</f>
        <v>1772.2585</v>
      </c>
      <c r="G13" s="218">
        <f>2250953.2/1000</f>
        <v>2250.9532000000004</v>
      </c>
      <c r="H13" s="218">
        <f>1854962.7/1000</f>
        <v>1854.9627</v>
      </c>
      <c r="I13" s="223">
        <f>1099884.1/1000</f>
        <v>1099.8841</v>
      </c>
      <c r="J13" s="223">
        <f>1685407.2/1000</f>
        <v>1685.4071999999999</v>
      </c>
    </row>
    <row r="14" spans="1:10" ht="19.5" customHeight="1">
      <c r="A14" s="176" t="s">
        <v>560</v>
      </c>
      <c r="B14" s="221">
        <f>287654.5/1000</f>
        <v>287.6545</v>
      </c>
      <c r="C14" s="222">
        <f>221752.4/1000</f>
        <v>221.7524</v>
      </c>
      <c r="D14" s="218">
        <f>355935.4/1000</f>
        <v>355.9354</v>
      </c>
      <c r="E14" s="218">
        <f>134563.2/1000</f>
        <v>134.56320000000002</v>
      </c>
      <c r="F14" s="218">
        <f>67961.4/1000</f>
        <v>67.9614</v>
      </c>
      <c r="G14" s="218">
        <f>155679.1/1000</f>
        <v>155.6791</v>
      </c>
      <c r="H14" s="218">
        <f>115527.2/1000</f>
        <v>115.5272</v>
      </c>
      <c r="I14" s="223">
        <f>30067.8/1000</f>
        <v>30.0678</v>
      </c>
      <c r="J14" s="223">
        <f>104495.4/1000</f>
        <v>104.49539999999999</v>
      </c>
    </row>
    <row r="15" spans="1:10" ht="19.5" customHeight="1">
      <c r="A15" s="8" t="s">
        <v>561</v>
      </c>
      <c r="B15" s="221">
        <f>372322/1000</f>
        <v>372.322</v>
      </c>
      <c r="C15" s="222">
        <f>377789.9/1000</f>
        <v>377.78990000000005</v>
      </c>
      <c r="D15" s="218">
        <f>422470.4/1000</f>
        <v>422.47040000000004</v>
      </c>
      <c r="E15" s="218">
        <f>155503.8/1000</f>
        <v>155.50379999999998</v>
      </c>
      <c r="F15" s="218">
        <f>111744.9/1000</f>
        <v>111.7449</v>
      </c>
      <c r="G15" s="218">
        <f>114988/1000</f>
        <v>114.988</v>
      </c>
      <c r="H15" s="218">
        <f>107166/1000</f>
        <v>107.166</v>
      </c>
      <c r="I15" s="223">
        <f>59141.9/1000</f>
        <v>59.1419</v>
      </c>
      <c r="J15" s="223">
        <f>96361.9/1000</f>
        <v>96.36189999999999</v>
      </c>
    </row>
    <row r="16" spans="1:10" ht="19.5" customHeight="1">
      <c r="A16" s="8" t="s">
        <v>562</v>
      </c>
      <c r="B16" s="221">
        <f>1284614/1000</f>
        <v>1284.614</v>
      </c>
      <c r="C16" s="222">
        <f>1278315.3/1000</f>
        <v>1278.3153</v>
      </c>
      <c r="D16" s="218">
        <f>1346191.2/1000</f>
        <v>1346.1912</v>
      </c>
      <c r="E16" s="218">
        <f>650147.1/1000</f>
        <v>650.1471</v>
      </c>
      <c r="F16" s="218">
        <f>321057.2/1000</f>
        <v>321.0572</v>
      </c>
      <c r="G16" s="218">
        <f>263637.2/1000</f>
        <v>263.6372</v>
      </c>
      <c r="H16" s="218">
        <f>400701.8/1000</f>
        <v>400.7018</v>
      </c>
      <c r="I16" s="223">
        <f>269782.4/1000</f>
        <v>269.7824</v>
      </c>
      <c r="J16" s="223">
        <f>380364.7/1000</f>
        <v>380.3647</v>
      </c>
    </row>
    <row r="17" spans="1:10" ht="19.5" customHeight="1">
      <c r="A17" s="8" t="s">
        <v>563</v>
      </c>
      <c r="B17" s="221">
        <f>273027.4/1000</f>
        <v>273.0274</v>
      </c>
      <c r="C17" s="222">
        <f>295165.4/1000</f>
        <v>295.16540000000003</v>
      </c>
      <c r="D17" s="218">
        <f>285491.6/1000</f>
        <v>285.49159999999995</v>
      </c>
      <c r="E17" s="218">
        <f>100892.9/1000</f>
        <v>100.8929</v>
      </c>
      <c r="F17" s="218">
        <f>60106.2/1000</f>
        <v>60.106199999999994</v>
      </c>
      <c r="G17" s="218">
        <f>93073.9/1000</f>
        <v>93.0739</v>
      </c>
      <c r="H17" s="218">
        <f>91116.9/1000</f>
        <v>91.1169</v>
      </c>
      <c r="I17" s="223">
        <f>43761.8/1000</f>
        <v>43.7618</v>
      </c>
      <c r="J17" s="223">
        <f>57131.1/1000</f>
        <v>57.131099999999996</v>
      </c>
    </row>
    <row r="18" spans="1:10" ht="19.5" customHeight="1">
      <c r="A18" s="8" t="s">
        <v>564</v>
      </c>
      <c r="B18" s="221">
        <f>820268.1/1000</f>
        <v>820.2681</v>
      </c>
      <c r="C18" s="222">
        <f>927580.7/1000</f>
        <v>927.5807</v>
      </c>
      <c r="D18" s="218">
        <f>1137803.3/1000</f>
        <v>1137.8033</v>
      </c>
      <c r="E18" s="218">
        <f>540794.4/1000</f>
        <v>540.7944</v>
      </c>
      <c r="F18" s="218">
        <f>322269/1000</f>
        <v>322.269</v>
      </c>
      <c r="G18" s="218">
        <f>269989.5/1000</f>
        <v>269.9895</v>
      </c>
      <c r="H18" s="218">
        <f>274121.3/1000</f>
        <v>274.12129999999996</v>
      </c>
      <c r="I18" s="223">
        <f>232245/1000</f>
        <v>232.245</v>
      </c>
      <c r="J18" s="223">
        <f>308549.4/1000</f>
        <v>308.54940000000005</v>
      </c>
    </row>
    <row r="19" spans="1:10" ht="19.5" customHeight="1">
      <c r="A19" s="8" t="s">
        <v>565</v>
      </c>
      <c r="B19" s="221">
        <f>736730.4/1000</f>
        <v>736.7304</v>
      </c>
      <c r="C19" s="222">
        <f>451593.1/1000</f>
        <v>451.5931</v>
      </c>
      <c r="D19" s="218">
        <f>524271.3/1000</f>
        <v>524.2713</v>
      </c>
      <c r="E19" s="218">
        <f>165081.4/1000</f>
        <v>165.0814</v>
      </c>
      <c r="F19" s="218">
        <f>132261.5/1000</f>
        <v>132.2615</v>
      </c>
      <c r="G19" s="218">
        <f>229753.8/1000</f>
        <v>229.75379999999998</v>
      </c>
      <c r="H19" s="218">
        <f>121133.3/1000</f>
        <v>121.1333</v>
      </c>
      <c r="I19" s="223">
        <f>41994.9/1000</f>
        <v>41.9949</v>
      </c>
      <c r="J19" s="223">
        <f>123086.5/1000</f>
        <v>123.0865</v>
      </c>
    </row>
    <row r="20" spans="1:10" ht="19.5" customHeight="1">
      <c r="A20" s="8" t="s">
        <v>566</v>
      </c>
      <c r="B20" s="221">
        <f>1075039/1000</f>
        <v>1075.039</v>
      </c>
      <c r="C20" s="222">
        <f>1259447.9/1000</f>
        <v>1259.4479</v>
      </c>
      <c r="D20" s="218">
        <f>1329877.7/1000</f>
        <v>1329.8777</v>
      </c>
      <c r="E20" s="218">
        <f>397160/1000</f>
        <v>397.16</v>
      </c>
      <c r="F20" s="218">
        <f>303963.4/1000</f>
        <v>303.96340000000004</v>
      </c>
      <c r="G20" s="218">
        <f>517650/1000</f>
        <v>517.65</v>
      </c>
      <c r="H20" s="218">
        <f>303738.2/1000</f>
        <v>303.7382</v>
      </c>
      <c r="I20" s="223">
        <f>156039.3/1000</f>
        <v>156.0393</v>
      </c>
      <c r="J20" s="223">
        <f>241120.7/1000</f>
        <v>241.1207</v>
      </c>
    </row>
    <row r="21" spans="1:10" ht="19.5" customHeight="1">
      <c r="A21" s="8" t="s">
        <v>567</v>
      </c>
      <c r="B21" s="221">
        <f>348424.7/1000</f>
        <v>348.42470000000003</v>
      </c>
      <c r="C21" s="222">
        <f>409009.5/1000</f>
        <v>409.0095</v>
      </c>
      <c r="D21" s="218">
        <f>523166.1/1000</f>
        <v>523.1661</v>
      </c>
      <c r="E21" s="218">
        <f>186852.1/1000</f>
        <v>186.8521</v>
      </c>
      <c r="F21" s="218">
        <f>133119.4/1000</f>
        <v>133.11939999999998</v>
      </c>
      <c r="G21" s="218">
        <f>161755/1000</f>
        <v>161.755</v>
      </c>
      <c r="H21" s="218">
        <f>124930.1/1000</f>
        <v>124.93010000000001</v>
      </c>
      <c r="I21" s="223">
        <f>66136.6/1000</f>
        <v>66.1366</v>
      </c>
      <c r="J21" s="223">
        <f>120715.5/1000</f>
        <v>120.7155</v>
      </c>
    </row>
    <row r="22" spans="1:10" ht="19.5" customHeight="1">
      <c r="A22" s="171" t="s">
        <v>568</v>
      </c>
      <c r="B22" s="221">
        <f>1231341.3/1000</f>
        <v>1231.3413</v>
      </c>
      <c r="C22" s="222">
        <f>1195647.1/1000</f>
        <v>1195.6471000000001</v>
      </c>
      <c r="D22" s="218">
        <f>1334977.9/1000</f>
        <v>1334.9778999999999</v>
      </c>
      <c r="E22" s="218">
        <f>454296.4/1000</f>
        <v>454.2964</v>
      </c>
      <c r="F22" s="218">
        <f>319775.6/1000</f>
        <v>319.7756</v>
      </c>
      <c r="G22" s="218">
        <f>444426.7/1000</f>
        <v>444.42670000000004</v>
      </c>
      <c r="H22" s="218">
        <f>316527.8/1000</f>
        <v>316.5278</v>
      </c>
      <c r="I22" s="223">
        <f>200714.4/1000</f>
        <v>200.71439999999998</v>
      </c>
      <c r="J22" s="223">
        <f>253582/1000</f>
        <v>253.582</v>
      </c>
    </row>
    <row r="23" spans="2:10" ht="18" customHeight="1">
      <c r="B23" s="41"/>
      <c r="C23" s="8"/>
      <c r="D23" s="8"/>
      <c r="E23" s="8"/>
      <c r="F23" s="8"/>
      <c r="G23" s="8"/>
      <c r="H23" s="8"/>
      <c r="I23" s="8"/>
      <c r="J23" s="8"/>
    </row>
    <row r="24" spans="1:10" ht="19.5" customHeight="1">
      <c r="A24" s="171" t="s">
        <v>569</v>
      </c>
      <c r="B24" s="221">
        <f>1277252.7/1000</f>
        <v>1277.2527</v>
      </c>
      <c r="C24" s="222">
        <f>1362465.9/1000</f>
        <v>1362.4659</v>
      </c>
      <c r="D24" s="224">
        <f>1850209.1/1000</f>
        <v>1850.2091</v>
      </c>
      <c r="E24" s="225">
        <f>717927.7/1000</f>
        <v>717.9277</v>
      </c>
      <c r="F24" s="225">
        <f>489595.2/1000</f>
        <v>489.59520000000003</v>
      </c>
      <c r="G24" s="218">
        <f>620814/1000</f>
        <v>620.814</v>
      </c>
      <c r="H24" s="218">
        <f>439676.2/1000</f>
        <v>439.6762</v>
      </c>
      <c r="I24" s="223">
        <f>304774.6/1000</f>
        <v>304.77459999999996</v>
      </c>
      <c r="J24" s="223">
        <f>413153.1/1000</f>
        <v>413.1531</v>
      </c>
    </row>
    <row r="25" spans="1:10" ht="19.5" customHeight="1">
      <c r="A25" s="176" t="s">
        <v>570</v>
      </c>
      <c r="B25" s="221">
        <f>495114.5/1000</f>
        <v>495.1145</v>
      </c>
      <c r="C25" s="222">
        <f>379833.5/1000</f>
        <v>379.8335</v>
      </c>
      <c r="D25" s="218">
        <f>471040.2/1000</f>
        <v>471.0402</v>
      </c>
      <c r="E25" s="218">
        <f>182965.1/1000</f>
        <v>182.9651</v>
      </c>
      <c r="F25" s="218">
        <f>102736.4/1000</f>
        <v>102.73639999999999</v>
      </c>
      <c r="G25" s="218">
        <f>141514.8/1000</f>
        <v>141.51479999999998</v>
      </c>
      <c r="H25" s="218">
        <f>152834.8/1000</f>
        <v>152.8348</v>
      </c>
      <c r="I25" s="223">
        <f>82906.5/1000</f>
        <v>82.9065</v>
      </c>
      <c r="J25" s="223">
        <f>100058.6/1000</f>
        <v>100.05860000000001</v>
      </c>
    </row>
    <row r="26" spans="1:10" ht="19.5" customHeight="1">
      <c r="A26" s="8" t="s">
        <v>571</v>
      </c>
      <c r="B26" s="221">
        <f>212479.3/1000</f>
        <v>212.4793</v>
      </c>
      <c r="C26" s="222">
        <f>231512.3/1000</f>
        <v>231.51229999999998</v>
      </c>
      <c r="D26" s="218">
        <f>329756.9/1000</f>
        <v>329.75690000000003</v>
      </c>
      <c r="E26" s="218">
        <f>144591.4/1000</f>
        <v>144.5914</v>
      </c>
      <c r="F26" s="218">
        <f>97268.4/1000</f>
        <v>97.2684</v>
      </c>
      <c r="G26" s="218">
        <f>93118.2/1000</f>
        <v>93.1182</v>
      </c>
      <c r="H26" s="218">
        <f>81139.4/1000</f>
        <v>81.1394</v>
      </c>
      <c r="I26" s="223">
        <f>60111.5/1000</f>
        <v>60.1115</v>
      </c>
      <c r="J26" s="223">
        <f>84479.9/1000</f>
        <v>84.4799</v>
      </c>
    </row>
    <row r="27" spans="1:10" ht="19.5" customHeight="1">
      <c r="A27" s="8" t="s">
        <v>572</v>
      </c>
      <c r="B27" s="221">
        <f>147860.7/1000</f>
        <v>147.8607</v>
      </c>
      <c r="C27" s="222">
        <f>157557.4/1000</f>
        <v>157.5574</v>
      </c>
      <c r="D27" s="218">
        <f>131867.3/1000</f>
        <v>131.8673</v>
      </c>
      <c r="E27" s="218">
        <f>68037.3/1000</f>
        <v>68.0373</v>
      </c>
      <c r="F27" s="218">
        <f>40889.3/1000</f>
        <v>40.889300000000006</v>
      </c>
      <c r="G27" s="218">
        <f>28350.1/1000</f>
        <v>28.350099999999998</v>
      </c>
      <c r="H27" s="218">
        <f>31436/1000</f>
        <v>31.436</v>
      </c>
      <c r="I27" s="223">
        <f>29611.2/1000</f>
        <v>29.6112</v>
      </c>
      <c r="J27" s="223">
        <f>38426.1/1000</f>
        <v>38.4261</v>
      </c>
    </row>
    <row r="28" spans="1:10" ht="19.5" customHeight="1">
      <c r="A28" s="8" t="s">
        <v>573</v>
      </c>
      <c r="B28" s="221">
        <f>96078.1/1000</f>
        <v>96.0781</v>
      </c>
      <c r="C28" s="222">
        <f>100523.3/1000</f>
        <v>100.5233</v>
      </c>
      <c r="D28" s="218">
        <f>257517/1000</f>
        <v>257.517</v>
      </c>
      <c r="E28" s="218">
        <f>108609.7/1000</f>
        <v>108.6097</v>
      </c>
      <c r="F28" s="218">
        <f>72756/1000</f>
        <v>72.756</v>
      </c>
      <c r="G28" s="218">
        <f>64143.6/1000</f>
        <v>64.14359999999999</v>
      </c>
      <c r="H28" s="218">
        <f>62920.8/1000</f>
        <v>62.9208</v>
      </c>
      <c r="I28" s="223">
        <f>70083.9/1000</f>
        <v>70.0839</v>
      </c>
      <c r="J28" s="223">
        <f>38525.8/1000</f>
        <v>38.525800000000004</v>
      </c>
    </row>
    <row r="29" spans="1:10" ht="19.5" customHeight="1">
      <c r="A29" s="171" t="s">
        <v>568</v>
      </c>
      <c r="B29" s="221">
        <f>325720.2/1000</f>
        <v>325.72020000000003</v>
      </c>
      <c r="C29" s="222">
        <f>493039.3/1000</f>
        <v>493.03929999999997</v>
      </c>
      <c r="D29" s="225">
        <f>660027.6/1000</f>
        <v>660.0276</v>
      </c>
      <c r="E29" s="225">
        <f>213724.2/1000</f>
        <v>213.72420000000002</v>
      </c>
      <c r="F29" s="225">
        <f>175945.2/1000</f>
        <v>175.9452</v>
      </c>
      <c r="G29" s="218">
        <f>293687.2/1000</f>
        <v>293.6872</v>
      </c>
      <c r="H29" s="218">
        <f>111345.1/1000</f>
        <v>111.3451</v>
      </c>
      <c r="I29" s="223">
        <f>62061.5/1000</f>
        <v>62.0615</v>
      </c>
      <c r="J29" s="223">
        <f>151662.7/1000</f>
        <v>151.6627</v>
      </c>
    </row>
    <row r="30" spans="1:10" ht="10.5" customHeight="1">
      <c r="A30" s="34"/>
      <c r="B30" s="215"/>
      <c r="C30" s="160"/>
      <c r="D30" s="160"/>
      <c r="E30" s="160"/>
      <c r="F30" s="160"/>
      <c r="G30" s="160"/>
      <c r="H30" s="160"/>
      <c r="I30" s="160"/>
      <c r="J30" s="160"/>
    </row>
    <row r="31" spans="1:10" ht="7.5" customHeight="1">
      <c r="A31" s="143"/>
      <c r="B31" s="50"/>
      <c r="C31" s="50"/>
      <c r="D31" s="50"/>
      <c r="E31" s="139"/>
      <c r="F31" s="50"/>
      <c r="G31" s="50"/>
      <c r="H31" s="50"/>
      <c r="I31" s="50"/>
      <c r="J31" s="50"/>
    </row>
    <row r="32" spans="1:11" ht="19.5" customHeight="1">
      <c r="A32" s="226" t="s">
        <v>574</v>
      </c>
      <c r="B32" s="24"/>
      <c r="C32" s="24"/>
      <c r="D32" s="24"/>
      <c r="E32" s="227"/>
      <c r="F32" s="227"/>
      <c r="G32" s="151"/>
      <c r="H32" s="228"/>
      <c r="I32" s="227"/>
      <c r="J32" s="227"/>
      <c r="K32" s="227"/>
    </row>
    <row r="33" spans="1:11" ht="19.5" customHeight="1">
      <c r="A33" s="226" t="s">
        <v>575</v>
      </c>
      <c r="B33" s="24"/>
      <c r="C33" s="24"/>
      <c r="D33" s="24"/>
      <c r="E33" s="227"/>
      <c r="F33" s="227"/>
      <c r="G33" s="151"/>
      <c r="H33" s="228"/>
      <c r="I33" s="227"/>
      <c r="J33" s="227"/>
      <c r="K33" s="227"/>
    </row>
    <row r="34" spans="1:11" ht="19.5" customHeight="1">
      <c r="A34" s="226" t="s">
        <v>576</v>
      </c>
      <c r="B34" s="24"/>
      <c r="C34" s="24"/>
      <c r="D34" s="24"/>
      <c r="E34" s="227"/>
      <c r="F34" s="227"/>
      <c r="G34" s="151"/>
      <c r="H34" s="228"/>
      <c r="I34" s="227"/>
      <c r="J34" s="227"/>
      <c r="K34" s="227"/>
    </row>
    <row r="35" spans="1:11" ht="19.5" customHeight="1">
      <c r="A35" s="229" t="s">
        <v>577</v>
      </c>
      <c r="B35" s="24"/>
      <c r="C35" s="24"/>
      <c r="D35" s="24"/>
      <c r="E35" s="227"/>
      <c r="F35" s="227"/>
      <c r="G35" s="151"/>
      <c r="H35" s="228"/>
      <c r="I35" s="227"/>
      <c r="J35" s="227"/>
      <c r="K35" s="227"/>
    </row>
    <row r="36" spans="1:11" ht="19.5" customHeight="1">
      <c r="A36" s="226" t="s">
        <v>578</v>
      </c>
      <c r="B36" s="24"/>
      <c r="C36" s="24"/>
      <c r="D36" s="24"/>
      <c r="E36" s="227"/>
      <c r="F36" s="227"/>
      <c r="G36" s="151"/>
      <c r="H36" s="228"/>
      <c r="I36" s="227"/>
      <c r="J36" s="227"/>
      <c r="K36" s="227"/>
    </row>
    <row r="37" spans="1:11" ht="19.5" customHeight="1">
      <c r="A37" s="229" t="s">
        <v>579</v>
      </c>
      <c r="B37" s="24"/>
      <c r="C37" s="24"/>
      <c r="D37" s="24"/>
      <c r="E37" s="227"/>
      <c r="F37" s="227"/>
      <c r="G37" s="151"/>
      <c r="H37" s="228"/>
      <c r="I37" s="227"/>
      <c r="J37" s="227"/>
      <c r="K37" s="227"/>
    </row>
    <row r="38" spans="1:11" ht="19.5" customHeight="1">
      <c r="A38" s="226" t="s">
        <v>580</v>
      </c>
      <c r="B38" s="24"/>
      <c r="C38" s="24"/>
      <c r="D38" s="24"/>
      <c r="E38" s="227"/>
      <c r="F38" s="227"/>
      <c r="G38" s="151"/>
      <c r="H38" s="228"/>
      <c r="I38" s="227"/>
      <c r="J38" s="227"/>
      <c r="K38" s="227"/>
    </row>
    <row r="39" spans="1:11" ht="19.5" customHeight="1">
      <c r="A39" s="226" t="s">
        <v>581</v>
      </c>
      <c r="B39" s="24"/>
      <c r="C39" s="24"/>
      <c r="D39" s="24"/>
      <c r="E39" s="227"/>
      <c r="F39" s="227"/>
      <c r="G39" s="151"/>
      <c r="H39" s="228"/>
      <c r="I39" s="227"/>
      <c r="J39" s="227"/>
      <c r="K39" s="227"/>
    </row>
    <row r="40" spans="1:11" ht="19.5" customHeight="1">
      <c r="A40" s="226" t="s">
        <v>582</v>
      </c>
      <c r="B40" s="24"/>
      <c r="C40" s="24"/>
      <c r="D40" s="24"/>
      <c r="E40" s="227"/>
      <c r="F40" s="227"/>
      <c r="G40" s="151"/>
      <c r="H40" s="228"/>
      <c r="I40" s="227"/>
      <c r="J40" s="227"/>
      <c r="K40" s="227"/>
    </row>
    <row r="41" spans="1:11" ht="19.5" customHeight="1">
      <c r="A41" s="226" t="s">
        <v>583</v>
      </c>
      <c r="B41" s="24"/>
      <c r="C41" s="24"/>
      <c r="D41" s="24"/>
      <c r="E41" s="227"/>
      <c r="F41" s="227"/>
      <c r="G41" s="151"/>
      <c r="H41" s="228"/>
      <c r="I41" s="227"/>
      <c r="J41" s="227"/>
      <c r="K41" s="227"/>
    </row>
    <row r="42" spans="1:11" ht="19.5" customHeight="1">
      <c r="A42" s="226" t="s">
        <v>584</v>
      </c>
      <c r="B42" s="24"/>
      <c r="C42" s="24"/>
      <c r="D42" s="24"/>
      <c r="E42" s="227"/>
      <c r="F42" s="227"/>
      <c r="G42" s="151"/>
      <c r="H42" s="228"/>
      <c r="I42" s="227"/>
      <c r="J42" s="227"/>
      <c r="K42" s="227"/>
    </row>
    <row r="43" spans="1:11" ht="19.5" customHeight="1">
      <c r="A43" s="229" t="s">
        <v>585</v>
      </c>
      <c r="B43" s="24"/>
      <c r="C43" s="24"/>
      <c r="D43" s="24"/>
      <c r="E43" s="227"/>
      <c r="F43" s="227"/>
      <c r="G43" s="151"/>
      <c r="H43" s="228"/>
      <c r="I43" s="227"/>
      <c r="J43" s="227"/>
      <c r="K43" s="227"/>
    </row>
    <row r="44" spans="1:11" ht="19.5" customHeight="1">
      <c r="A44" s="230" t="s">
        <v>586</v>
      </c>
      <c r="B44" s="24"/>
      <c r="C44" s="24"/>
      <c r="D44" s="24"/>
      <c r="E44" s="227"/>
      <c r="F44" s="227"/>
      <c r="G44" s="151"/>
      <c r="H44" s="228"/>
      <c r="I44" s="227"/>
      <c r="J44" s="227"/>
      <c r="K44" s="227"/>
    </row>
  </sheetData>
  <mergeCells count="3"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Kou Chin Man</cp:lastModifiedBy>
  <dcterms:created xsi:type="dcterms:W3CDTF">2002-09-06T04:31:30Z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